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fice Files nov 12 2016\2016 FILES\RCD\"/>
    </mc:Choice>
  </mc:AlternateContent>
  <bookViews>
    <workbookView xWindow="6765" yWindow="15" windowWidth="12780" windowHeight="8085" tabRatio="643" firstSheet="7" activeTab="13"/>
  </bookViews>
  <sheets>
    <sheet name="ACCOUNT CODES" sheetId="4" r:id="rId1"/>
    <sheet name="ROI - JAN." sheetId="1" r:id="rId2"/>
    <sheet name="ROI - FEB." sheetId="3" r:id="rId3"/>
    <sheet name="ROI - MAR" sheetId="7" r:id="rId4"/>
    <sheet name="ROI - APR" sheetId="8" r:id="rId5"/>
    <sheet name="ROI - MAY" sheetId="9" r:id="rId6"/>
    <sheet name="ROI - JUNE" sheetId="10" r:id="rId7"/>
    <sheet name="ROI - JULY" sheetId="11" r:id="rId8"/>
    <sheet name="ROI - AUG" sheetId="12" r:id="rId9"/>
    <sheet name="ROI - SEP" sheetId="13" r:id="rId10"/>
    <sheet name="ROI - OCT" sheetId="14" r:id="rId11"/>
    <sheet name="ROI - NOV" sheetId="15" r:id="rId12"/>
    <sheet name="ROI - DEC" sheetId="16" r:id="rId13"/>
    <sheet name="FAR NO. 5" sheetId="5" r:id="rId14"/>
    <sheet name="Sheet1" sheetId="6" r:id="rId15"/>
  </sheets>
  <definedNames>
    <definedName name="_xlnm.Print_Area" localSheetId="0">'ACCOUNT CODES'!$B$1:$D$57</definedName>
    <definedName name="_xlnm.Print_Area" localSheetId="1">'ROI - JAN.'!$C$1:$H$102</definedName>
    <definedName name="_xlnm.Print_Titles" localSheetId="1">'ROI - JAN.'!$10:$10</definedName>
  </definedNames>
  <calcPr calcId="152511"/>
</workbook>
</file>

<file path=xl/calcChain.xml><?xml version="1.0" encoding="utf-8"?>
<calcChain xmlns="http://schemas.openxmlformats.org/spreadsheetml/2006/main">
  <c r="H10" i="5" l="1"/>
  <c r="G10" i="5" l="1"/>
  <c r="H41" i="5" l="1"/>
  <c r="H54" i="5"/>
  <c r="H53" i="5"/>
  <c r="L58" i="5"/>
  <c r="L57" i="5"/>
  <c r="L56" i="5"/>
  <c r="K58" i="5"/>
  <c r="K57" i="5"/>
  <c r="K56" i="5"/>
  <c r="I58" i="5"/>
  <c r="H59" i="5"/>
  <c r="H58" i="5"/>
  <c r="H57" i="5"/>
  <c r="H56" i="5"/>
  <c r="H102" i="5" l="1"/>
  <c r="I102" i="5"/>
  <c r="G73" i="5"/>
  <c r="Q102" i="5" l="1"/>
  <c r="Q103" i="5" s="1"/>
  <c r="H34" i="16"/>
  <c r="Q48" i="5"/>
  <c r="G54" i="16"/>
  <c r="F54" i="16" s="1"/>
  <c r="G53" i="16"/>
  <c r="G48" i="16"/>
  <c r="F48" i="16" s="1"/>
  <c r="G47" i="16"/>
  <c r="G44" i="16"/>
  <c r="G43" i="16"/>
  <c r="G42" i="16"/>
  <c r="G41" i="16"/>
  <c r="G40" i="16"/>
  <c r="G39" i="16"/>
  <c r="G38" i="16"/>
  <c r="G37" i="16"/>
  <c r="G29" i="16" s="1"/>
  <c r="G36" i="16"/>
  <c r="G35" i="16"/>
  <c r="G34" i="16"/>
  <c r="G28" i="16"/>
  <c r="G27" i="16"/>
  <c r="G26" i="16"/>
  <c r="G25" i="16"/>
  <c r="F25" i="16" s="1"/>
  <c r="G24" i="16"/>
  <c r="G23" i="16"/>
  <c r="G22" i="16"/>
  <c r="G21" i="16"/>
  <c r="F21" i="16" s="1"/>
  <c r="G20" i="16"/>
  <c r="G19" i="16"/>
  <c r="G18" i="16"/>
  <c r="G17" i="16"/>
  <c r="F17" i="16" s="1"/>
  <c r="G16" i="16"/>
  <c r="G14" i="16"/>
  <c r="F14" i="16" s="1"/>
  <c r="F97" i="16"/>
  <c r="F96" i="16"/>
  <c r="F98" i="16" s="1"/>
  <c r="F93" i="16"/>
  <c r="F92" i="16"/>
  <c r="F94" i="16" s="1"/>
  <c r="F89" i="16"/>
  <c r="F85" i="16"/>
  <c r="F81" i="16"/>
  <c r="F77" i="16"/>
  <c r="F74" i="16"/>
  <c r="F73" i="16"/>
  <c r="F72" i="16"/>
  <c r="H66" i="16"/>
  <c r="F66" i="16"/>
  <c r="F53" i="16"/>
  <c r="G52" i="16"/>
  <c r="G51" i="16" s="1"/>
  <c r="F52" i="16"/>
  <c r="H51" i="16"/>
  <c r="G50" i="16"/>
  <c r="F50" i="16" s="1"/>
  <c r="G49" i="16"/>
  <c r="F49" i="16"/>
  <c r="F47" i="16"/>
  <c r="G46" i="16"/>
  <c r="F46" i="16" s="1"/>
  <c r="H45" i="16"/>
  <c r="F44" i="16"/>
  <c r="F43" i="16"/>
  <c r="F42" i="16"/>
  <c r="F41" i="16"/>
  <c r="F40" i="16"/>
  <c r="F39" i="16"/>
  <c r="F38" i="16"/>
  <c r="F37" i="16"/>
  <c r="F36" i="16"/>
  <c r="F35" i="16"/>
  <c r="F34" i="16"/>
  <c r="G33" i="16"/>
  <c r="F33" i="16"/>
  <c r="G32" i="16"/>
  <c r="F32" i="16" s="1"/>
  <c r="G31" i="16"/>
  <c r="F31" i="16"/>
  <c r="G30" i="16"/>
  <c r="F30" i="16" s="1"/>
  <c r="H29" i="16"/>
  <c r="F28" i="16"/>
  <c r="F27" i="16"/>
  <c r="F26" i="16"/>
  <c r="F24" i="16"/>
  <c r="F23" i="16"/>
  <c r="F22" i="16"/>
  <c r="F20" i="16"/>
  <c r="F19" i="16"/>
  <c r="F18" i="16"/>
  <c r="F16" i="16"/>
  <c r="G15" i="16"/>
  <c r="F15" i="16" s="1"/>
  <c r="H13" i="16"/>
  <c r="H57" i="16" l="1"/>
  <c r="H67" i="16" s="1"/>
  <c r="F45" i="16"/>
  <c r="F84" i="16" s="1"/>
  <c r="F86" i="16" s="1"/>
  <c r="F51" i="16"/>
  <c r="F88" i="16" s="1"/>
  <c r="F90" i="16" s="1"/>
  <c r="F13" i="16"/>
  <c r="F29" i="16"/>
  <c r="F80" i="16" s="1"/>
  <c r="F82" i="16" s="1"/>
  <c r="G45" i="16"/>
  <c r="G13" i="16"/>
  <c r="G57" i="16" l="1"/>
  <c r="G67" i="16" s="1"/>
  <c r="F57" i="16"/>
  <c r="F67" i="16" s="1"/>
  <c r="F76" i="16"/>
  <c r="F78" i="16" s="1"/>
  <c r="F99" i="16" s="1"/>
  <c r="R77" i="5"/>
  <c r="R76" i="5"/>
  <c r="R75" i="5"/>
  <c r="R74" i="5"/>
  <c r="R69" i="5"/>
  <c r="G69" i="5" s="1"/>
  <c r="R68" i="5"/>
  <c r="G68" i="5" s="1"/>
  <c r="R67" i="5"/>
  <c r="R66" i="5"/>
  <c r="R65" i="5"/>
  <c r="G65" i="5" s="1"/>
  <c r="R64" i="5"/>
  <c r="G64" i="5" s="1"/>
  <c r="R63" i="5"/>
  <c r="G63" i="5" s="1"/>
  <c r="R62" i="5"/>
  <c r="G62" i="5" s="1"/>
  <c r="R61" i="5"/>
  <c r="G61" i="5" s="1"/>
  <c r="R59" i="5"/>
  <c r="G59" i="5" s="1"/>
  <c r="R58" i="5"/>
  <c r="G58" i="5" s="1"/>
  <c r="R57" i="5"/>
  <c r="G57" i="5" s="1"/>
  <c r="R56" i="5"/>
  <c r="G56" i="5" s="1"/>
  <c r="R55" i="5"/>
  <c r="G55" i="5" s="1"/>
  <c r="R54" i="5"/>
  <c r="G54" i="5" s="1"/>
  <c r="R53" i="5"/>
  <c r="G53" i="5" s="1"/>
  <c r="R52" i="5"/>
  <c r="G52" i="5" s="1"/>
  <c r="R51" i="5"/>
  <c r="G51" i="5" s="1"/>
  <c r="R50" i="5"/>
  <c r="G50" i="5" s="1"/>
  <c r="R49" i="5"/>
  <c r="G49" i="5" s="1"/>
  <c r="R48" i="5"/>
  <c r="G48" i="5" s="1"/>
  <c r="R47" i="5"/>
  <c r="G47" i="5" s="1"/>
  <c r="R46" i="5"/>
  <c r="G46" i="5" s="1"/>
  <c r="R45" i="5"/>
  <c r="G45" i="5" s="1"/>
  <c r="R44" i="5"/>
  <c r="G44" i="5" s="1"/>
  <c r="R42" i="5"/>
  <c r="G42" i="5" s="1"/>
  <c r="R41" i="5"/>
  <c r="G41" i="5" s="1"/>
  <c r="R40" i="5"/>
  <c r="G40" i="5" s="1"/>
  <c r="R39" i="5"/>
  <c r="G39" i="5" s="1"/>
  <c r="R38" i="5"/>
  <c r="G38" i="5" s="1"/>
  <c r="R37" i="5"/>
  <c r="G37" i="5" s="1"/>
  <c r="R36" i="5"/>
  <c r="G36" i="5" s="1"/>
  <c r="R35" i="5"/>
  <c r="G35" i="5" s="1"/>
  <c r="R34" i="5"/>
  <c r="G34" i="5" s="1"/>
  <c r="R33" i="5"/>
  <c r="G33" i="5" s="1"/>
  <c r="R32" i="5"/>
  <c r="G32" i="5" s="1"/>
  <c r="R31" i="5"/>
  <c r="G31" i="5" s="1"/>
  <c r="R30" i="5"/>
  <c r="G30" i="5" s="1"/>
  <c r="R29" i="5"/>
  <c r="G29" i="5" s="1"/>
  <c r="R28" i="5"/>
  <c r="G28" i="5" s="1"/>
  <c r="R27" i="5"/>
  <c r="G27" i="5" s="1"/>
  <c r="P102" i="5"/>
  <c r="P103" i="5" s="1"/>
  <c r="H57" i="15"/>
  <c r="H51" i="15"/>
  <c r="H29" i="15"/>
  <c r="H13" i="15"/>
  <c r="O102" i="5"/>
  <c r="O103" i="5" s="1"/>
  <c r="G43" i="5" l="1"/>
  <c r="G26" i="5"/>
  <c r="R102" i="5"/>
  <c r="G54" i="15"/>
  <c r="G53" i="15"/>
  <c r="G48" i="15"/>
  <c r="G47" i="15"/>
  <c r="G44" i="15"/>
  <c r="G43" i="15"/>
  <c r="G42" i="15"/>
  <c r="G41" i="15"/>
  <c r="G40" i="15"/>
  <c r="G39" i="15"/>
  <c r="G38" i="15"/>
  <c r="G37" i="15"/>
  <c r="G36" i="15"/>
  <c r="G35" i="15"/>
  <c r="G34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4" i="15"/>
  <c r="F97" i="15" l="1"/>
  <c r="F96" i="15"/>
  <c r="F98" i="15" s="1"/>
  <c r="F94" i="15"/>
  <c r="F93" i="15"/>
  <c r="F92" i="15"/>
  <c r="F89" i="15"/>
  <c r="F85" i="15"/>
  <c r="F81" i="15"/>
  <c r="F77" i="15"/>
  <c r="F73" i="15"/>
  <c r="F74" i="15" s="1"/>
  <c r="F72" i="15"/>
  <c r="H66" i="15"/>
  <c r="F66" i="15"/>
  <c r="F54" i="15"/>
  <c r="F53" i="15"/>
  <c r="G52" i="15"/>
  <c r="G51" i="15" s="1"/>
  <c r="F52" i="15"/>
  <c r="G50" i="15"/>
  <c r="F50" i="15"/>
  <c r="G49" i="15"/>
  <c r="F49" i="15"/>
  <c r="F48" i="15"/>
  <c r="F47" i="15"/>
  <c r="G46" i="15"/>
  <c r="G45" i="15" s="1"/>
  <c r="F46" i="15"/>
  <c r="H45" i="15"/>
  <c r="F44" i="15"/>
  <c r="F43" i="15"/>
  <c r="F42" i="15"/>
  <c r="F41" i="15"/>
  <c r="F40" i="15"/>
  <c r="F39" i="15"/>
  <c r="F38" i="15"/>
  <c r="F37" i="15"/>
  <c r="F36" i="15"/>
  <c r="F35" i="15"/>
  <c r="F34" i="15"/>
  <c r="G33" i="15"/>
  <c r="F33" i="15"/>
  <c r="G32" i="15"/>
  <c r="F32" i="15" s="1"/>
  <c r="G31" i="15"/>
  <c r="F31" i="15"/>
  <c r="G30" i="15"/>
  <c r="F30" i="15" s="1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G15" i="15"/>
  <c r="F15" i="15"/>
  <c r="F14" i="15"/>
  <c r="G13" i="15"/>
  <c r="F45" i="15" l="1"/>
  <c r="F84" i="15" s="1"/>
  <c r="F86" i="15" s="1"/>
  <c r="H67" i="15"/>
  <c r="F29" i="15"/>
  <c r="F80" i="15" s="1"/>
  <c r="F82" i="15" s="1"/>
  <c r="F13" i="15"/>
  <c r="F76" i="15" s="1"/>
  <c r="F78" i="15" s="1"/>
  <c r="F51" i="15"/>
  <c r="F88" i="15" s="1"/>
  <c r="F90" i="15" s="1"/>
  <c r="G29" i="15"/>
  <c r="G57" i="15" s="1"/>
  <c r="G67" i="15" s="1"/>
  <c r="G54" i="14"/>
  <c r="G53" i="14"/>
  <c r="G48" i="14"/>
  <c r="G47" i="14"/>
  <c r="G45" i="14" s="1"/>
  <c r="G44" i="14"/>
  <c r="G43" i="14"/>
  <c r="G42" i="14"/>
  <c r="G41" i="14"/>
  <c r="F41" i="14" s="1"/>
  <c r="G40" i="14"/>
  <c r="G39" i="14"/>
  <c r="G38" i="14"/>
  <c r="G37" i="14"/>
  <c r="F37" i="14" s="1"/>
  <c r="G36" i="14"/>
  <c r="G35" i="14"/>
  <c r="G34" i="14"/>
  <c r="G28" i="14"/>
  <c r="G27" i="14"/>
  <c r="G26" i="14"/>
  <c r="F26" i="14" s="1"/>
  <c r="G25" i="14"/>
  <c r="F25" i="14" s="1"/>
  <c r="G24" i="14"/>
  <c r="G23" i="14"/>
  <c r="G22" i="14"/>
  <c r="F22" i="14" s="1"/>
  <c r="G21" i="14"/>
  <c r="F21" i="14" s="1"/>
  <c r="G20" i="14"/>
  <c r="G19" i="14"/>
  <c r="G18" i="14"/>
  <c r="G17" i="14"/>
  <c r="F17" i="14" s="1"/>
  <c r="G16" i="14"/>
  <c r="G14" i="14"/>
  <c r="G14" i="13"/>
  <c r="F47" i="14"/>
  <c r="F38" i="14"/>
  <c r="F42" i="14"/>
  <c r="F34" i="14"/>
  <c r="F23" i="14"/>
  <c r="F19" i="14"/>
  <c r="F14" i="14"/>
  <c r="F97" i="14"/>
  <c r="F96" i="14"/>
  <c r="F98" i="14" s="1"/>
  <c r="F93" i="14"/>
  <c r="F92" i="14"/>
  <c r="F94" i="14" s="1"/>
  <c r="F89" i="14"/>
  <c r="F85" i="14"/>
  <c r="F81" i="14"/>
  <c r="F77" i="14"/>
  <c r="F74" i="14"/>
  <c r="F73" i="14"/>
  <c r="F72" i="14"/>
  <c r="H66" i="14"/>
  <c r="F66" i="14"/>
  <c r="F54" i="14"/>
  <c r="F53" i="14"/>
  <c r="G52" i="14"/>
  <c r="H51" i="14"/>
  <c r="G50" i="14"/>
  <c r="F50" i="14" s="1"/>
  <c r="G49" i="14"/>
  <c r="F49" i="14"/>
  <c r="F48" i="14"/>
  <c r="G46" i="14"/>
  <c r="F46" i="14" s="1"/>
  <c r="H45" i="14"/>
  <c r="F44" i="14"/>
  <c r="F43" i="14"/>
  <c r="F40" i="14"/>
  <c r="F39" i="14"/>
  <c r="F36" i="14"/>
  <c r="F35" i="14"/>
  <c r="G33" i="14"/>
  <c r="F33" i="14" s="1"/>
  <c r="G32" i="14"/>
  <c r="F32" i="14"/>
  <c r="G31" i="14"/>
  <c r="F31" i="14" s="1"/>
  <c r="G30" i="14"/>
  <c r="F30" i="14"/>
  <c r="H29" i="14"/>
  <c r="F28" i="14"/>
  <c r="F27" i="14"/>
  <c r="F24" i="14"/>
  <c r="F20" i="14"/>
  <c r="F18" i="14"/>
  <c r="F16" i="14"/>
  <c r="G15" i="14"/>
  <c r="F15" i="14" s="1"/>
  <c r="H13" i="14"/>
  <c r="F99" i="15" l="1"/>
  <c r="F57" i="15"/>
  <c r="F67" i="15" s="1"/>
  <c r="G51" i="14"/>
  <c r="F45" i="14"/>
  <c r="F84" i="14" s="1"/>
  <c r="F86" i="14" s="1"/>
  <c r="G13" i="14"/>
  <c r="H57" i="14"/>
  <c r="H67" i="14" s="1"/>
  <c r="F13" i="14"/>
  <c r="F29" i="14"/>
  <c r="F80" i="14" s="1"/>
  <c r="F82" i="14" s="1"/>
  <c r="G29" i="14"/>
  <c r="F52" i="14"/>
  <c r="F51" i="14" s="1"/>
  <c r="F88" i="14" s="1"/>
  <c r="F90" i="14" s="1"/>
  <c r="G57" i="14" l="1"/>
  <c r="G67" i="14" s="1"/>
  <c r="F57" i="14"/>
  <c r="F67" i="14" s="1"/>
  <c r="F76" i="14"/>
  <c r="F78" i="14" s="1"/>
  <c r="F99" i="14" s="1"/>
  <c r="H29" i="5"/>
  <c r="H27" i="5"/>
  <c r="F43" i="5"/>
  <c r="F26" i="5"/>
  <c r="F63" i="5"/>
  <c r="F62" i="5"/>
  <c r="F48" i="5"/>
  <c r="F31" i="5"/>
  <c r="G54" i="13" l="1"/>
  <c r="G53" i="13"/>
  <c r="G48" i="13"/>
  <c r="G47" i="13"/>
  <c r="G44" i="13"/>
  <c r="G43" i="13"/>
  <c r="G42" i="13"/>
  <c r="G41" i="13"/>
  <c r="F41" i="13" s="1"/>
  <c r="G40" i="13"/>
  <c r="G39" i="13"/>
  <c r="G38" i="13"/>
  <c r="G37" i="13"/>
  <c r="F37" i="13" s="1"/>
  <c r="G36" i="13"/>
  <c r="G35" i="13"/>
  <c r="G34" i="13"/>
  <c r="G28" i="13"/>
  <c r="G27" i="13"/>
  <c r="G26" i="13"/>
  <c r="F26" i="13" s="1"/>
  <c r="G25" i="13"/>
  <c r="F25" i="13" s="1"/>
  <c r="G24" i="13"/>
  <c r="G23" i="13"/>
  <c r="G22" i="13"/>
  <c r="F22" i="13" s="1"/>
  <c r="G21" i="13"/>
  <c r="F21" i="13" s="1"/>
  <c r="G20" i="13"/>
  <c r="G19" i="13"/>
  <c r="G18" i="13"/>
  <c r="F18" i="13" s="1"/>
  <c r="G17" i="13"/>
  <c r="G13" i="13" s="1"/>
  <c r="G16" i="13"/>
  <c r="F97" i="13"/>
  <c r="F96" i="13"/>
  <c r="F98" i="13" s="1"/>
  <c r="F93" i="13"/>
  <c r="F92" i="13"/>
  <c r="F94" i="13" s="1"/>
  <c r="F89" i="13"/>
  <c r="F85" i="13"/>
  <c r="F81" i="13"/>
  <c r="F77" i="13"/>
  <c r="F74" i="13"/>
  <c r="F73" i="13"/>
  <c r="F72" i="13"/>
  <c r="H66" i="13"/>
  <c r="F66" i="13"/>
  <c r="F54" i="13"/>
  <c r="F53" i="13"/>
  <c r="G52" i="13"/>
  <c r="G51" i="13" s="1"/>
  <c r="F52" i="13"/>
  <c r="H51" i="13"/>
  <c r="G50" i="13"/>
  <c r="F50" i="13" s="1"/>
  <c r="G49" i="13"/>
  <c r="F49" i="13" s="1"/>
  <c r="F48" i="13"/>
  <c r="F47" i="13"/>
  <c r="G46" i="13"/>
  <c r="F46" i="13" s="1"/>
  <c r="F45" i="13" s="1"/>
  <c r="F84" i="13" s="1"/>
  <c r="F86" i="13" s="1"/>
  <c r="H45" i="13"/>
  <c r="F44" i="13"/>
  <c r="F43" i="13"/>
  <c r="F42" i="13"/>
  <c r="F40" i="13"/>
  <c r="F39" i="13"/>
  <c r="F38" i="13"/>
  <c r="F36" i="13"/>
  <c r="F35" i="13"/>
  <c r="F34" i="13"/>
  <c r="G33" i="13"/>
  <c r="F33" i="13"/>
  <c r="G32" i="13"/>
  <c r="F32" i="13"/>
  <c r="G31" i="13"/>
  <c r="F31" i="13"/>
  <c r="G30" i="13"/>
  <c r="F30" i="13"/>
  <c r="H29" i="13"/>
  <c r="F28" i="13"/>
  <c r="F27" i="13"/>
  <c r="F24" i="13"/>
  <c r="F23" i="13"/>
  <c r="F20" i="13"/>
  <c r="F19" i="13"/>
  <c r="F16" i="13"/>
  <c r="G15" i="13"/>
  <c r="F15" i="13" s="1"/>
  <c r="H13" i="13"/>
  <c r="G29" i="13" l="1"/>
  <c r="F17" i="13"/>
  <c r="H57" i="13"/>
  <c r="H67" i="13" s="1"/>
  <c r="F29" i="13"/>
  <c r="F80" i="13" s="1"/>
  <c r="F82" i="13" s="1"/>
  <c r="F51" i="13"/>
  <c r="F88" i="13" s="1"/>
  <c r="F90" i="13" s="1"/>
  <c r="F14" i="13"/>
  <c r="F13" i="13" s="1"/>
  <c r="G45" i="13"/>
  <c r="G54" i="12"/>
  <c r="G53" i="12"/>
  <c r="G48" i="12"/>
  <c r="G47" i="12"/>
  <c r="G44" i="12"/>
  <c r="G43" i="12"/>
  <c r="G42" i="12"/>
  <c r="G41" i="12"/>
  <c r="G40" i="12"/>
  <c r="G39" i="12"/>
  <c r="G38" i="12"/>
  <c r="G37" i="12"/>
  <c r="G36" i="12"/>
  <c r="G35" i="12"/>
  <c r="G34" i="12"/>
  <c r="G28" i="12"/>
  <c r="G27" i="12"/>
  <c r="G26" i="12"/>
  <c r="G25" i="12"/>
  <c r="F25" i="12" s="1"/>
  <c r="G24" i="12"/>
  <c r="G23" i="12"/>
  <c r="G22" i="12"/>
  <c r="G21" i="12"/>
  <c r="F21" i="12" s="1"/>
  <c r="G20" i="12"/>
  <c r="G19" i="12"/>
  <c r="G18" i="12"/>
  <c r="G17" i="12"/>
  <c r="F17" i="12" s="1"/>
  <c r="G16" i="12"/>
  <c r="G14" i="12"/>
  <c r="F14" i="12" s="1"/>
  <c r="F97" i="12"/>
  <c r="F96" i="12"/>
  <c r="F98" i="12" s="1"/>
  <c r="F93" i="12"/>
  <c r="F94" i="12" s="1"/>
  <c r="F92" i="12"/>
  <c r="F89" i="12"/>
  <c r="F85" i="12"/>
  <c r="F81" i="12"/>
  <c r="F77" i="12"/>
  <c r="F73" i="12"/>
  <c r="F72" i="12"/>
  <c r="F74" i="12" s="1"/>
  <c r="H66" i="12"/>
  <c r="F66" i="12"/>
  <c r="F54" i="12"/>
  <c r="F53" i="12"/>
  <c r="G52" i="12"/>
  <c r="F52" i="12" s="1"/>
  <c r="H51" i="12"/>
  <c r="G51" i="12"/>
  <c r="G50" i="12"/>
  <c r="F50" i="12"/>
  <c r="G49" i="12"/>
  <c r="F49" i="12" s="1"/>
  <c r="F48" i="12"/>
  <c r="F47" i="12"/>
  <c r="G46" i="12"/>
  <c r="F46" i="12"/>
  <c r="H45" i="12"/>
  <c r="F44" i="12"/>
  <c r="F43" i="12"/>
  <c r="F42" i="12"/>
  <c r="F41" i="12"/>
  <c r="F40" i="12"/>
  <c r="F39" i="12"/>
  <c r="F38" i="12"/>
  <c r="F37" i="12"/>
  <c r="F36" i="12"/>
  <c r="F35" i="12"/>
  <c r="F34" i="12"/>
  <c r="G33" i="12"/>
  <c r="F33" i="12" s="1"/>
  <c r="G32" i="12"/>
  <c r="F32" i="12"/>
  <c r="G31" i="12"/>
  <c r="F31" i="12" s="1"/>
  <c r="G30" i="12"/>
  <c r="G29" i="12" s="1"/>
  <c r="F30" i="12"/>
  <c r="H29" i="12"/>
  <c r="F28" i="12"/>
  <c r="F27" i="12"/>
  <c r="F26" i="12"/>
  <c r="F24" i="12"/>
  <c r="F23" i="12"/>
  <c r="F22" i="12"/>
  <c r="F20" i="12"/>
  <c r="F19" i="12"/>
  <c r="F18" i="12"/>
  <c r="F16" i="12"/>
  <c r="G15" i="12"/>
  <c r="F15" i="12"/>
  <c r="H13" i="12"/>
  <c r="G57" i="13" l="1"/>
  <c r="G67" i="13" s="1"/>
  <c r="F57" i="13"/>
  <c r="F67" i="13" s="1"/>
  <c r="F76" i="13"/>
  <c r="F78" i="13" s="1"/>
  <c r="F99" i="13" s="1"/>
  <c r="F51" i="12"/>
  <c r="F88" i="12" s="1"/>
  <c r="F90" i="12" s="1"/>
  <c r="F29" i="12"/>
  <c r="F80" i="12" s="1"/>
  <c r="F82" i="12" s="1"/>
  <c r="H57" i="12"/>
  <c r="H67" i="12" s="1"/>
  <c r="F45" i="12"/>
  <c r="F84" i="12" s="1"/>
  <c r="F86" i="12" s="1"/>
  <c r="F13" i="12"/>
  <c r="G13" i="12"/>
  <c r="G57" i="12" s="1"/>
  <c r="G67" i="12" s="1"/>
  <c r="G45" i="12"/>
  <c r="G54" i="11"/>
  <c r="G53" i="11"/>
  <c r="G48" i="11"/>
  <c r="F48" i="11" s="1"/>
  <c r="G47" i="11"/>
  <c r="G45" i="11" s="1"/>
  <c r="G44" i="11"/>
  <c r="G43" i="11"/>
  <c r="G42" i="11"/>
  <c r="G41" i="11"/>
  <c r="G40" i="11"/>
  <c r="G39" i="11"/>
  <c r="G38" i="11"/>
  <c r="G37" i="11"/>
  <c r="G36" i="11"/>
  <c r="G35" i="11"/>
  <c r="G34" i="11"/>
  <c r="G28" i="11"/>
  <c r="G27" i="11"/>
  <c r="G26" i="11"/>
  <c r="G25" i="11"/>
  <c r="G24" i="11"/>
  <c r="G23" i="11"/>
  <c r="G22" i="11"/>
  <c r="G21" i="11"/>
  <c r="G20" i="11"/>
  <c r="G19" i="11"/>
  <c r="G18" i="11"/>
  <c r="G16" i="11"/>
  <c r="F16" i="11" s="1"/>
  <c r="G14" i="11"/>
  <c r="F14" i="11" s="1"/>
  <c r="F97" i="11"/>
  <c r="F96" i="11"/>
  <c r="F98" i="11" s="1"/>
  <c r="F93" i="11"/>
  <c r="F92" i="11"/>
  <c r="F94" i="11" s="1"/>
  <c r="F89" i="11"/>
  <c r="F85" i="11"/>
  <c r="F81" i="11"/>
  <c r="F77" i="11"/>
  <c r="F74" i="11"/>
  <c r="F73" i="11"/>
  <c r="F72" i="11"/>
  <c r="H66" i="11"/>
  <c r="F66" i="11"/>
  <c r="F54" i="11"/>
  <c r="F53" i="11"/>
  <c r="G52" i="11"/>
  <c r="G51" i="11" s="1"/>
  <c r="H51" i="11"/>
  <c r="G50" i="11"/>
  <c r="F50" i="11" s="1"/>
  <c r="G49" i="11"/>
  <c r="F49" i="11"/>
  <c r="G46" i="11"/>
  <c r="F46" i="11" s="1"/>
  <c r="H45" i="11"/>
  <c r="F44" i="11"/>
  <c r="F43" i="11"/>
  <c r="F42" i="11"/>
  <c r="F41" i="11"/>
  <c r="F40" i="11"/>
  <c r="F39" i="11"/>
  <c r="F38" i="11"/>
  <c r="F37" i="11"/>
  <c r="F36" i="11"/>
  <c r="F35" i="11"/>
  <c r="F34" i="11"/>
  <c r="G33" i="11"/>
  <c r="F33" i="11" s="1"/>
  <c r="G32" i="11"/>
  <c r="F32" i="11"/>
  <c r="G31" i="11"/>
  <c r="F31" i="11" s="1"/>
  <c r="G30" i="11"/>
  <c r="F30" i="11"/>
  <c r="H29" i="11"/>
  <c r="F28" i="11"/>
  <c r="F27" i="11"/>
  <c r="F26" i="11"/>
  <c r="F25" i="11"/>
  <c r="F24" i="11"/>
  <c r="F23" i="11"/>
  <c r="F22" i="11"/>
  <c r="F21" i="11"/>
  <c r="F20" i="11"/>
  <c r="F19" i="11"/>
  <c r="F18" i="11"/>
  <c r="G17" i="11"/>
  <c r="F17" i="11" s="1"/>
  <c r="G15" i="11"/>
  <c r="F15" i="11" s="1"/>
  <c r="G13" i="11"/>
  <c r="H13" i="11"/>
  <c r="F76" i="12" l="1"/>
  <c r="F78" i="12" s="1"/>
  <c r="F99" i="12" s="1"/>
  <c r="F57" i="12"/>
  <c r="F67" i="12" s="1"/>
  <c r="H57" i="11"/>
  <c r="H67" i="11" s="1"/>
  <c r="F47" i="11"/>
  <c r="F45" i="11" s="1"/>
  <c r="F84" i="11" s="1"/>
  <c r="F86" i="11" s="1"/>
  <c r="F13" i="11"/>
  <c r="F29" i="11"/>
  <c r="F80" i="11" s="1"/>
  <c r="F82" i="11" s="1"/>
  <c r="G29" i="11"/>
  <c r="G57" i="11" s="1"/>
  <c r="G67" i="11" s="1"/>
  <c r="F52" i="11"/>
  <c r="F51" i="11" s="1"/>
  <c r="F88" i="11" s="1"/>
  <c r="F90" i="11" s="1"/>
  <c r="F57" i="11" l="1"/>
  <c r="F67" i="11" s="1"/>
  <c r="F76" i="11"/>
  <c r="F78" i="11" s="1"/>
  <c r="F99" i="11" s="1"/>
  <c r="E73" i="5" l="1"/>
  <c r="E76" i="5"/>
  <c r="E69" i="5"/>
  <c r="E68" i="5"/>
  <c r="E57" i="5"/>
  <c r="E55" i="5"/>
  <c r="E54" i="5"/>
  <c r="E53" i="5"/>
  <c r="E49" i="5"/>
  <c r="E48" i="5"/>
  <c r="E41" i="5"/>
  <c r="E40" i="5"/>
  <c r="E37" i="5"/>
  <c r="E34" i="5"/>
  <c r="E31" i="5"/>
  <c r="E29" i="5"/>
  <c r="E58" i="5"/>
  <c r="E63" i="5"/>
  <c r="E62" i="5"/>
  <c r="E33" i="5"/>
  <c r="F97" i="10"/>
  <c r="F96" i="10"/>
  <c r="F93" i="10"/>
  <c r="F92" i="10"/>
  <c r="F89" i="10"/>
  <c r="F85" i="10"/>
  <c r="F81" i="10"/>
  <c r="F77" i="10"/>
  <c r="F74" i="10"/>
  <c r="F73" i="10"/>
  <c r="F72" i="10"/>
  <c r="H66" i="10"/>
  <c r="F66" i="10"/>
  <c r="H51" i="10"/>
  <c r="H45" i="10"/>
  <c r="H29" i="10"/>
  <c r="H13" i="10"/>
  <c r="E43" i="5" l="1"/>
  <c r="F94" i="10"/>
  <c r="F98" i="10"/>
  <c r="H57" i="10"/>
  <c r="H67" i="10" s="1"/>
  <c r="H29" i="9"/>
  <c r="F44" i="9"/>
  <c r="G44" i="10" s="1"/>
  <c r="F44" i="10" s="1"/>
  <c r="F97" i="9"/>
  <c r="F96" i="9"/>
  <c r="F98" i="9" s="1"/>
  <c r="F93" i="9"/>
  <c r="F92" i="9"/>
  <c r="F89" i="9"/>
  <c r="F85" i="9"/>
  <c r="F81" i="9"/>
  <c r="F77" i="9"/>
  <c r="F73" i="9"/>
  <c r="F72" i="9"/>
  <c r="H66" i="9"/>
  <c r="F66" i="9"/>
  <c r="H51" i="9"/>
  <c r="H45" i="9"/>
  <c r="H13" i="9"/>
  <c r="F94" i="9" l="1"/>
  <c r="F74" i="9"/>
  <c r="H57" i="9"/>
  <c r="H67" i="9" s="1"/>
  <c r="F96" i="8"/>
  <c r="F95" i="8"/>
  <c r="F97" i="8" s="1"/>
  <c r="F92" i="8"/>
  <c r="F91" i="8"/>
  <c r="F93" i="8" s="1"/>
  <c r="F88" i="8"/>
  <c r="F84" i="8"/>
  <c r="F80" i="8"/>
  <c r="F76" i="8"/>
  <c r="F72" i="8"/>
  <c r="F73" i="8" s="1"/>
  <c r="F71" i="8"/>
  <c r="H65" i="8"/>
  <c r="F65" i="8"/>
  <c r="H50" i="8"/>
  <c r="H44" i="8"/>
  <c r="H29" i="8"/>
  <c r="H13" i="8" l="1"/>
  <c r="H56" i="8" s="1"/>
  <c r="H66" i="8" s="1"/>
  <c r="I59" i="5"/>
  <c r="I57" i="5"/>
  <c r="I56" i="5"/>
  <c r="I54" i="5"/>
  <c r="I53" i="5"/>
  <c r="I41" i="5"/>
  <c r="D75" i="5"/>
  <c r="D43" i="5"/>
  <c r="D26" i="5"/>
  <c r="H39" i="7"/>
  <c r="H41" i="7"/>
  <c r="H23" i="7"/>
  <c r="H28" i="7"/>
  <c r="H47" i="7"/>
  <c r="H21" i="7"/>
  <c r="H40" i="7"/>
  <c r="H26" i="7"/>
  <c r="H16" i="7"/>
  <c r="H53" i="7"/>
  <c r="C69" i="5" l="1"/>
  <c r="C68" i="5"/>
  <c r="C63" i="5"/>
  <c r="C59" i="5"/>
  <c r="C56" i="5"/>
  <c r="C55" i="5"/>
  <c r="C54" i="5"/>
  <c r="C53" i="5"/>
  <c r="C52" i="5"/>
  <c r="C43" i="5" s="1"/>
  <c r="C49" i="5"/>
  <c r="C48" i="5"/>
  <c r="C41" i="5"/>
  <c r="C40" i="5"/>
  <c r="C39" i="5"/>
  <c r="C37" i="5"/>
  <c r="C34" i="5"/>
  <c r="C33" i="5"/>
  <c r="C31" i="5"/>
  <c r="C29" i="5"/>
  <c r="C26" i="5"/>
  <c r="F41" i="7" l="1"/>
  <c r="G41" i="8" s="1"/>
  <c r="F41" i="8" s="1"/>
  <c r="G41" i="9" s="1"/>
  <c r="F41" i="9" s="1"/>
  <c r="G41" i="10" s="1"/>
  <c r="F41" i="10" s="1"/>
  <c r="F28" i="7"/>
  <c r="G28" i="8" s="1"/>
  <c r="F28" i="8" s="1"/>
  <c r="G28" i="9" s="1"/>
  <c r="F28" i="9" s="1"/>
  <c r="G28" i="10" s="1"/>
  <c r="F28" i="10" s="1"/>
  <c r="H33" i="7"/>
  <c r="H29" i="7" s="1"/>
  <c r="H43" i="7"/>
  <c r="F43" i="7" s="1"/>
  <c r="G43" i="8" s="1"/>
  <c r="F43" i="8" s="1"/>
  <c r="G43" i="9" s="1"/>
  <c r="F43" i="9" s="1"/>
  <c r="G43" i="10" s="1"/>
  <c r="F43" i="10" s="1"/>
  <c r="H42" i="7"/>
  <c r="F42" i="7" s="1"/>
  <c r="G42" i="8" s="1"/>
  <c r="F42" i="8" s="1"/>
  <c r="G42" i="9" s="1"/>
  <c r="F42" i="9" s="1"/>
  <c r="G42" i="10" s="1"/>
  <c r="F42" i="10" s="1"/>
  <c r="H13" i="7"/>
  <c r="H50" i="7"/>
  <c r="F96" i="7"/>
  <c r="F95" i="7"/>
  <c r="F92" i="7"/>
  <c r="F91" i="7"/>
  <c r="F88" i="7"/>
  <c r="F84" i="7"/>
  <c r="F80" i="7"/>
  <c r="F76" i="7"/>
  <c r="F72" i="7"/>
  <c r="F71" i="7"/>
  <c r="H65" i="7"/>
  <c r="F65" i="7"/>
  <c r="H44" i="7"/>
  <c r="F93" i="7" l="1"/>
  <c r="F73" i="7"/>
  <c r="F97" i="7"/>
  <c r="H56" i="7"/>
  <c r="H66" i="7" s="1"/>
  <c r="H39" i="3"/>
  <c r="H21" i="3" l="1"/>
  <c r="F51" i="1" l="1"/>
  <c r="G50" i="3" s="1"/>
  <c r="F50" i="3" s="1"/>
  <c r="G53" i="7" s="1"/>
  <c r="F53" i="7" s="1"/>
  <c r="G53" i="8" s="1"/>
  <c r="F53" i="8" s="1"/>
  <c r="G54" i="9" s="1"/>
  <c r="F54" i="9" s="1"/>
  <c r="G54" i="10" s="1"/>
  <c r="F54" i="10" s="1"/>
  <c r="F50" i="1"/>
  <c r="G49" i="3" s="1"/>
  <c r="F49" i="3" s="1"/>
  <c r="G52" i="7" s="1"/>
  <c r="F52" i="7" s="1"/>
  <c r="G52" i="8" s="1"/>
  <c r="F52" i="8" s="1"/>
  <c r="G53" i="9" s="1"/>
  <c r="F53" i="9" s="1"/>
  <c r="G53" i="10" s="1"/>
  <c r="F53" i="10" s="1"/>
  <c r="F49" i="1"/>
  <c r="F48" i="1" s="1"/>
  <c r="F85" i="1" s="1"/>
  <c r="F47" i="1"/>
  <c r="F46" i="1"/>
  <c r="F45" i="1"/>
  <c r="G44" i="3" s="1"/>
  <c r="F44" i="3" s="1"/>
  <c r="G47" i="7" s="1"/>
  <c r="F47" i="7" s="1"/>
  <c r="G47" i="8" s="1"/>
  <c r="F47" i="8" s="1"/>
  <c r="G48" i="9" s="1"/>
  <c r="F48" i="9" s="1"/>
  <c r="G48" i="10" s="1"/>
  <c r="F48" i="10" s="1"/>
  <c r="F44" i="1"/>
  <c r="G43" i="3" s="1"/>
  <c r="F43" i="3" s="1"/>
  <c r="G46" i="7" s="1"/>
  <c r="F46" i="7" s="1"/>
  <c r="G46" i="8" s="1"/>
  <c r="F46" i="8" s="1"/>
  <c r="G47" i="9" s="1"/>
  <c r="F47" i="9" s="1"/>
  <c r="G47" i="10" s="1"/>
  <c r="F47" i="10" s="1"/>
  <c r="F43" i="1"/>
  <c r="F40" i="1"/>
  <c r="G40" i="3" s="1"/>
  <c r="F40" i="3" s="1"/>
  <c r="G40" i="7" s="1"/>
  <c r="F40" i="7" s="1"/>
  <c r="G40" i="8" s="1"/>
  <c r="F40" i="8" s="1"/>
  <c r="G40" i="9" s="1"/>
  <c r="F40" i="9" s="1"/>
  <c r="G40" i="10" s="1"/>
  <c r="F40" i="10" s="1"/>
  <c r="F39" i="1"/>
  <c r="G39" i="3" s="1"/>
  <c r="F39" i="3" s="1"/>
  <c r="G39" i="7" s="1"/>
  <c r="F39" i="7" s="1"/>
  <c r="G39" i="8" s="1"/>
  <c r="F39" i="8" s="1"/>
  <c r="G39" i="9" s="1"/>
  <c r="F39" i="9" s="1"/>
  <c r="G39" i="10" s="1"/>
  <c r="F39" i="10" s="1"/>
  <c r="F38" i="1"/>
  <c r="F37" i="1"/>
  <c r="F36" i="1"/>
  <c r="F35" i="1"/>
  <c r="G35" i="3" s="1"/>
  <c r="F35" i="3" s="1"/>
  <c r="G35" i="7" s="1"/>
  <c r="F35" i="7" s="1"/>
  <c r="G35" i="8" s="1"/>
  <c r="F35" i="8" s="1"/>
  <c r="G35" i="9" s="1"/>
  <c r="F35" i="9" s="1"/>
  <c r="G35" i="10" s="1"/>
  <c r="F35" i="10" s="1"/>
  <c r="F34" i="1"/>
  <c r="G34" i="3" s="1"/>
  <c r="F34" i="3" s="1"/>
  <c r="G34" i="7" s="1"/>
  <c r="F34" i="7" s="1"/>
  <c r="G34" i="8" s="1"/>
  <c r="F34" i="8" s="1"/>
  <c r="G34" i="9" s="1"/>
  <c r="F34" i="9" s="1"/>
  <c r="G34" i="10" s="1"/>
  <c r="F34" i="10" s="1"/>
  <c r="F33" i="1"/>
  <c r="G33" i="3" s="1"/>
  <c r="F33" i="3" s="1"/>
  <c r="G33" i="7" s="1"/>
  <c r="F33" i="7" s="1"/>
  <c r="F32" i="1"/>
  <c r="F31" i="1"/>
  <c r="F30" i="1"/>
  <c r="F28" i="1"/>
  <c r="F27" i="1"/>
  <c r="G27" i="3" s="1"/>
  <c r="F27" i="3" s="1"/>
  <c r="G26" i="7" s="1"/>
  <c r="F26" i="7" s="1"/>
  <c r="G26" i="8" s="1"/>
  <c r="F26" i="8" s="1"/>
  <c r="G26" i="9" s="1"/>
  <c r="F26" i="9" s="1"/>
  <c r="G26" i="10" s="1"/>
  <c r="F26" i="10" s="1"/>
  <c r="F26" i="1"/>
  <c r="F25" i="1"/>
  <c r="F24" i="1"/>
  <c r="G24" i="3" s="1"/>
  <c r="F24" i="3" s="1"/>
  <c r="G23" i="7" s="1"/>
  <c r="F23" i="7" s="1"/>
  <c r="G23" i="8" s="1"/>
  <c r="F23" i="8" s="1"/>
  <c r="G23" i="9" s="1"/>
  <c r="F23" i="9" s="1"/>
  <c r="G23" i="10" s="1"/>
  <c r="F23" i="10" s="1"/>
  <c r="F23" i="1"/>
  <c r="G23" i="3" s="1"/>
  <c r="F23" i="3" s="1"/>
  <c r="F22" i="1"/>
  <c r="F21" i="1"/>
  <c r="G21" i="3" s="1"/>
  <c r="F21" i="3" s="1"/>
  <c r="G21" i="7" s="1"/>
  <c r="F21" i="7" s="1"/>
  <c r="G21" i="8" s="1"/>
  <c r="F21" i="8" s="1"/>
  <c r="G21" i="9" s="1"/>
  <c r="F21" i="9" s="1"/>
  <c r="G21" i="10" s="1"/>
  <c r="F21" i="10" s="1"/>
  <c r="F20" i="1"/>
  <c r="F19" i="1"/>
  <c r="F18" i="1"/>
  <c r="F17" i="1"/>
  <c r="F16" i="1"/>
  <c r="F15" i="1"/>
  <c r="F14" i="1"/>
  <c r="G14" i="3" s="1"/>
  <c r="F14" i="3" s="1"/>
  <c r="G14" i="7" s="1"/>
  <c r="H40" i="5"/>
  <c r="J102" i="5"/>
  <c r="K98" i="5"/>
  <c r="H98" i="5"/>
  <c r="G98" i="5"/>
  <c r="F98" i="5"/>
  <c r="E98" i="5"/>
  <c r="D98" i="5"/>
  <c r="C98" i="5"/>
  <c r="K90" i="5"/>
  <c r="G90" i="5"/>
  <c r="F90" i="5"/>
  <c r="E90" i="5"/>
  <c r="D90" i="5"/>
  <c r="C90" i="5"/>
  <c r="K87" i="5"/>
  <c r="H87" i="5"/>
  <c r="L87" i="5" s="1"/>
  <c r="K80" i="5"/>
  <c r="G80" i="5"/>
  <c r="F80" i="5"/>
  <c r="E80" i="5"/>
  <c r="D80" i="5"/>
  <c r="C80" i="5"/>
  <c r="K77" i="5"/>
  <c r="H77" i="5"/>
  <c r="L77" i="5" s="1"/>
  <c r="H76" i="5"/>
  <c r="H75" i="5"/>
  <c r="H74" i="5"/>
  <c r="F73" i="5"/>
  <c r="D73" i="5"/>
  <c r="C73" i="5"/>
  <c r="K71" i="5"/>
  <c r="H71" i="5"/>
  <c r="L71" i="5" s="1"/>
  <c r="M71" i="5" s="1"/>
  <c r="K70" i="5"/>
  <c r="H70" i="5"/>
  <c r="L70" i="5" s="1"/>
  <c r="M70" i="5" s="1"/>
  <c r="H69" i="5"/>
  <c r="H68" i="5"/>
  <c r="H67" i="5"/>
  <c r="G66" i="5"/>
  <c r="F66" i="5"/>
  <c r="E66" i="5"/>
  <c r="D66" i="5"/>
  <c r="C66" i="5"/>
  <c r="H65" i="5"/>
  <c r="H64" i="5"/>
  <c r="H63" i="5"/>
  <c r="H62" i="5"/>
  <c r="H61" i="5"/>
  <c r="G60" i="5"/>
  <c r="G15" i="5" s="1"/>
  <c r="G102" i="5" s="1"/>
  <c r="F60" i="5"/>
  <c r="E60" i="5"/>
  <c r="D60" i="5"/>
  <c r="C60" i="5"/>
  <c r="H55" i="5"/>
  <c r="H52" i="5"/>
  <c r="H51" i="5"/>
  <c r="H50" i="5"/>
  <c r="H49" i="5"/>
  <c r="H48" i="5"/>
  <c r="H47" i="5"/>
  <c r="H46" i="5"/>
  <c r="H45" i="5"/>
  <c r="H44" i="5"/>
  <c r="H42" i="5"/>
  <c r="H39" i="5"/>
  <c r="H38" i="5"/>
  <c r="H37" i="5"/>
  <c r="H36" i="5"/>
  <c r="H35" i="5"/>
  <c r="H34" i="5"/>
  <c r="H33" i="5"/>
  <c r="H32" i="5"/>
  <c r="H31" i="5"/>
  <c r="H30" i="5"/>
  <c r="H28" i="5"/>
  <c r="E26" i="5"/>
  <c r="K25" i="5"/>
  <c r="H25" i="5"/>
  <c r="K24" i="5"/>
  <c r="H24" i="5"/>
  <c r="K23" i="5"/>
  <c r="H23" i="5"/>
  <c r="K22" i="5"/>
  <c r="H22" i="5"/>
  <c r="K21" i="5"/>
  <c r="H21" i="5"/>
  <c r="L21" i="5" s="1"/>
  <c r="M21" i="5" s="1"/>
  <c r="H41" i="3"/>
  <c r="H42" i="1"/>
  <c r="F93" i="3"/>
  <c r="F92" i="3"/>
  <c r="F89" i="3"/>
  <c r="F88" i="3"/>
  <c r="F85" i="3"/>
  <c r="F81" i="3"/>
  <c r="F77" i="3"/>
  <c r="F73" i="3"/>
  <c r="F69" i="3"/>
  <c r="F68" i="3"/>
  <c r="H62" i="3"/>
  <c r="F62" i="3"/>
  <c r="H47" i="3"/>
  <c r="H29" i="3"/>
  <c r="H13" i="3"/>
  <c r="H63" i="1"/>
  <c r="H29" i="1"/>
  <c r="H48" i="1"/>
  <c r="F94" i="1"/>
  <c r="F93" i="1"/>
  <c r="F90" i="1"/>
  <c r="F91" i="1" s="1"/>
  <c r="F89" i="1"/>
  <c r="F86" i="1"/>
  <c r="F82" i="1"/>
  <c r="F78" i="1"/>
  <c r="F74" i="1"/>
  <c r="F70" i="1"/>
  <c r="F63" i="1"/>
  <c r="F69" i="1"/>
  <c r="D15" i="5" l="1"/>
  <c r="E15" i="5"/>
  <c r="H15" i="5" s="1"/>
  <c r="C15" i="5"/>
  <c r="H26" i="5"/>
  <c r="L26" i="5" s="1"/>
  <c r="M26" i="5" s="1"/>
  <c r="L98" i="5"/>
  <c r="M98" i="5" s="1"/>
  <c r="I60" i="5"/>
  <c r="I26" i="5"/>
  <c r="G38" i="8"/>
  <c r="F38" i="8" s="1"/>
  <c r="G38" i="9" s="1"/>
  <c r="F38" i="9" s="1"/>
  <c r="G38" i="10" s="1"/>
  <c r="F38" i="10" s="1"/>
  <c r="G38" i="7"/>
  <c r="F38" i="7" s="1"/>
  <c r="G38" i="3"/>
  <c r="F38" i="3" s="1"/>
  <c r="L28" i="5"/>
  <c r="I28" i="5"/>
  <c r="K28" i="5" s="1"/>
  <c r="G18" i="7"/>
  <c r="F18" i="7" s="1"/>
  <c r="G18" i="3"/>
  <c r="F18" i="3" s="1"/>
  <c r="G25" i="7"/>
  <c r="F25" i="7" s="1"/>
  <c r="G26" i="3"/>
  <c r="F26" i="3" s="1"/>
  <c r="I43" i="5"/>
  <c r="F15" i="5"/>
  <c r="F13" i="1"/>
  <c r="G16" i="3"/>
  <c r="F16" i="3" s="1"/>
  <c r="G16" i="7" s="1"/>
  <c r="F16" i="7" s="1"/>
  <c r="G16" i="8" s="1"/>
  <c r="F16" i="8" s="1"/>
  <c r="G16" i="9" s="1"/>
  <c r="F16" i="9" s="1"/>
  <c r="G16" i="10" s="1"/>
  <c r="F16" i="10" s="1"/>
  <c r="G20" i="7"/>
  <c r="F20" i="7" s="1"/>
  <c r="G20" i="8" s="1"/>
  <c r="F20" i="8" s="1"/>
  <c r="G20" i="9" s="1"/>
  <c r="F20" i="9" s="1"/>
  <c r="G20" i="10" s="1"/>
  <c r="F20" i="10" s="1"/>
  <c r="G20" i="3"/>
  <c r="F20" i="3" s="1"/>
  <c r="G27" i="7"/>
  <c r="F27" i="7" s="1"/>
  <c r="G28" i="3"/>
  <c r="F28" i="3" s="1"/>
  <c r="G33" i="10"/>
  <c r="F33" i="10" s="1"/>
  <c r="G33" i="9"/>
  <c r="F33" i="9" s="1"/>
  <c r="G33" i="8"/>
  <c r="F33" i="8" s="1"/>
  <c r="G37" i="8"/>
  <c r="F37" i="8" s="1"/>
  <c r="G37" i="9" s="1"/>
  <c r="F37" i="9" s="1"/>
  <c r="G37" i="10" s="1"/>
  <c r="F37" i="10" s="1"/>
  <c r="G37" i="7"/>
  <c r="F37" i="7" s="1"/>
  <c r="G37" i="3"/>
  <c r="F37" i="3" s="1"/>
  <c r="F42" i="1"/>
  <c r="F81" i="1" s="1"/>
  <c r="G46" i="10"/>
  <c r="G46" i="9"/>
  <c r="G45" i="8"/>
  <c r="G45" i="7"/>
  <c r="G42" i="3"/>
  <c r="G50" i="10"/>
  <c r="F50" i="10" s="1"/>
  <c r="G50" i="9"/>
  <c r="F50" i="9" s="1"/>
  <c r="G49" i="8"/>
  <c r="F49" i="8" s="1"/>
  <c r="G49" i="7"/>
  <c r="F49" i="7" s="1"/>
  <c r="G46" i="3"/>
  <c r="F46" i="3" s="1"/>
  <c r="D102" i="5"/>
  <c r="G17" i="7"/>
  <c r="F17" i="7" s="1"/>
  <c r="G17" i="3"/>
  <c r="F17" i="3" s="1"/>
  <c r="G24" i="7"/>
  <c r="F24" i="7" s="1"/>
  <c r="G25" i="3"/>
  <c r="F25" i="3" s="1"/>
  <c r="G30" i="10"/>
  <c r="G30" i="9"/>
  <c r="G30" i="8"/>
  <c r="G30" i="7"/>
  <c r="G30" i="3"/>
  <c r="G52" i="10"/>
  <c r="G52" i="9"/>
  <c r="G51" i="8"/>
  <c r="G51" i="7"/>
  <c r="G48" i="3"/>
  <c r="G22" i="7"/>
  <c r="F22" i="7" s="1"/>
  <c r="G22" i="3"/>
  <c r="F22" i="3" s="1"/>
  <c r="G31" i="10"/>
  <c r="F31" i="10" s="1"/>
  <c r="G31" i="9"/>
  <c r="F31" i="9" s="1"/>
  <c r="G31" i="8"/>
  <c r="F31" i="8" s="1"/>
  <c r="G31" i="7"/>
  <c r="F31" i="7" s="1"/>
  <c r="G31" i="3"/>
  <c r="F31" i="3" s="1"/>
  <c r="F29" i="1"/>
  <c r="F77" i="1" s="1"/>
  <c r="F79" i="1" s="1"/>
  <c r="M102" i="5"/>
  <c r="I66" i="5"/>
  <c r="I73" i="5"/>
  <c r="G15" i="10"/>
  <c r="F15" i="10" s="1"/>
  <c r="G15" i="9"/>
  <c r="F15" i="9" s="1"/>
  <c r="G15" i="8"/>
  <c r="F15" i="8" s="1"/>
  <c r="G15" i="7"/>
  <c r="F15" i="7" s="1"/>
  <c r="G15" i="3"/>
  <c r="F15" i="3" s="1"/>
  <c r="F13" i="3" s="1"/>
  <c r="F72" i="3" s="1"/>
  <c r="F74" i="3" s="1"/>
  <c r="G19" i="7"/>
  <c r="F19" i="7" s="1"/>
  <c r="G19" i="3"/>
  <c r="F19" i="3" s="1"/>
  <c r="G32" i="10"/>
  <c r="F32" i="10" s="1"/>
  <c r="G32" i="9"/>
  <c r="F32" i="9" s="1"/>
  <c r="G32" i="8"/>
  <c r="F32" i="8" s="1"/>
  <c r="G32" i="7"/>
  <c r="F32" i="7" s="1"/>
  <c r="G32" i="3"/>
  <c r="F32" i="3" s="1"/>
  <c r="G36" i="8"/>
  <c r="F36" i="8" s="1"/>
  <c r="G36" i="9" s="1"/>
  <c r="F36" i="9" s="1"/>
  <c r="G36" i="10" s="1"/>
  <c r="F36" i="10" s="1"/>
  <c r="G36" i="7"/>
  <c r="F36" i="7" s="1"/>
  <c r="G36" i="3"/>
  <c r="F36" i="3" s="1"/>
  <c r="G49" i="10"/>
  <c r="F49" i="10" s="1"/>
  <c r="G49" i="9"/>
  <c r="F49" i="9" s="1"/>
  <c r="G48" i="8"/>
  <c r="F48" i="8" s="1"/>
  <c r="G48" i="7"/>
  <c r="F48" i="7" s="1"/>
  <c r="G45" i="3"/>
  <c r="F45" i="3" s="1"/>
  <c r="L75" i="5"/>
  <c r="I75" i="5"/>
  <c r="K75" i="5" s="1"/>
  <c r="L76" i="5"/>
  <c r="I76" i="5"/>
  <c r="K76" i="5" s="1"/>
  <c r="L74" i="5"/>
  <c r="I74" i="5"/>
  <c r="K74" i="5" s="1"/>
  <c r="L27" i="5"/>
  <c r="I27" i="5"/>
  <c r="K27" i="5" s="1"/>
  <c r="L39" i="5"/>
  <c r="I39" i="5"/>
  <c r="K39" i="5" s="1"/>
  <c r="L47" i="5"/>
  <c r="I47" i="5"/>
  <c r="K47" i="5" s="1"/>
  <c r="L61" i="5"/>
  <c r="I61" i="5"/>
  <c r="K61" i="5" s="1"/>
  <c r="L30" i="5"/>
  <c r="I30" i="5"/>
  <c r="K30" i="5" s="1"/>
  <c r="L32" i="5"/>
  <c r="I32" i="5"/>
  <c r="K32" i="5" s="1"/>
  <c r="L35" i="5"/>
  <c r="I35" i="5"/>
  <c r="K35" i="5" s="1"/>
  <c r="L67" i="5"/>
  <c r="I67" i="5"/>
  <c r="K67" i="5" s="1"/>
  <c r="L50" i="5"/>
  <c r="I50" i="5"/>
  <c r="K50" i="5" s="1"/>
  <c r="L38" i="5"/>
  <c r="I38" i="5"/>
  <c r="K38" i="5" s="1"/>
  <c r="L42" i="5"/>
  <c r="I42" i="5"/>
  <c r="K42" i="5" s="1"/>
  <c r="L44" i="5"/>
  <c r="I44" i="5"/>
  <c r="K44" i="5" s="1"/>
  <c r="L46" i="5"/>
  <c r="I46" i="5"/>
  <c r="K46" i="5" s="1"/>
  <c r="L51" i="5"/>
  <c r="I51" i="5"/>
  <c r="K51" i="5" s="1"/>
  <c r="L65" i="5"/>
  <c r="I65" i="5"/>
  <c r="K65" i="5" s="1"/>
  <c r="L45" i="5"/>
  <c r="I45" i="5"/>
  <c r="K45" i="5" s="1"/>
  <c r="L52" i="5"/>
  <c r="I52" i="5"/>
  <c r="K52" i="5" s="1"/>
  <c r="L64" i="5"/>
  <c r="I64" i="5"/>
  <c r="K64" i="5" s="1"/>
  <c r="L31" i="5"/>
  <c r="I31" i="5"/>
  <c r="K31" i="5" s="1"/>
  <c r="L36" i="5"/>
  <c r="I36" i="5"/>
  <c r="K36" i="5" s="1"/>
  <c r="L69" i="5"/>
  <c r="I69" i="5"/>
  <c r="K69" i="5" s="1"/>
  <c r="L68" i="5"/>
  <c r="I68" i="5"/>
  <c r="K68" i="5" s="1"/>
  <c r="L63" i="5"/>
  <c r="I63" i="5"/>
  <c r="K63" i="5" s="1"/>
  <c r="L62" i="5"/>
  <c r="I62" i="5"/>
  <c r="K62" i="5" s="1"/>
  <c r="L55" i="5"/>
  <c r="I55" i="5"/>
  <c r="K55" i="5" s="1"/>
  <c r="L49" i="5"/>
  <c r="I49" i="5"/>
  <c r="K49" i="5" s="1"/>
  <c r="L48" i="5"/>
  <c r="I48" i="5"/>
  <c r="K48" i="5" s="1"/>
  <c r="L40" i="5"/>
  <c r="I40" i="5"/>
  <c r="K40" i="5" s="1"/>
  <c r="L37" i="5"/>
  <c r="I37" i="5"/>
  <c r="K37" i="5" s="1"/>
  <c r="L34" i="5"/>
  <c r="I34" i="5"/>
  <c r="K34" i="5" s="1"/>
  <c r="L33" i="5"/>
  <c r="I33" i="5"/>
  <c r="K33" i="5" s="1"/>
  <c r="L29" i="5"/>
  <c r="I29" i="5"/>
  <c r="K29" i="5" s="1"/>
  <c r="F14" i="7"/>
  <c r="G13" i="7"/>
  <c r="H60" i="5"/>
  <c r="L60" i="5" s="1"/>
  <c r="M60" i="5" s="1"/>
  <c r="F87" i="1"/>
  <c r="F70" i="3"/>
  <c r="H43" i="5"/>
  <c r="L43" i="5" s="1"/>
  <c r="M43" i="5" s="1"/>
  <c r="H73" i="5"/>
  <c r="L73" i="5" s="1"/>
  <c r="M73" i="5" s="1"/>
  <c r="H80" i="5"/>
  <c r="L80" i="5" s="1"/>
  <c r="M80" i="5" s="1"/>
  <c r="H90" i="5"/>
  <c r="L90" i="5" s="1"/>
  <c r="M90" i="5" s="1"/>
  <c r="H66" i="5"/>
  <c r="L66" i="5" s="1"/>
  <c r="M66" i="5" s="1"/>
  <c r="H53" i="3"/>
  <c r="H63" i="3" s="1"/>
  <c r="F90" i="3"/>
  <c r="F94" i="3"/>
  <c r="F71" i="1"/>
  <c r="H13" i="1"/>
  <c r="H54" i="1" s="1"/>
  <c r="H64" i="1" s="1"/>
  <c r="F95" i="1"/>
  <c r="F83" i="1"/>
  <c r="F73" i="1"/>
  <c r="F75" i="1" s="1"/>
  <c r="R105" i="5" l="1"/>
  <c r="I15" i="5"/>
  <c r="F102" i="5"/>
  <c r="L15" i="5"/>
  <c r="G13" i="3"/>
  <c r="G24" i="8"/>
  <c r="F24" i="8" s="1"/>
  <c r="G24" i="10"/>
  <c r="F24" i="10" s="1"/>
  <c r="G24" i="9"/>
  <c r="F24" i="9" s="1"/>
  <c r="F52" i="10"/>
  <c r="F51" i="10" s="1"/>
  <c r="F88" i="10" s="1"/>
  <c r="F90" i="10" s="1"/>
  <c r="G51" i="10"/>
  <c r="F46" i="9"/>
  <c r="F45" i="9" s="1"/>
  <c r="F84" i="9" s="1"/>
  <c r="F86" i="9" s="1"/>
  <c r="G45" i="9"/>
  <c r="G19" i="8"/>
  <c r="F19" i="8" s="1"/>
  <c r="G19" i="10"/>
  <c r="F19" i="10" s="1"/>
  <c r="G19" i="9"/>
  <c r="F19" i="9" s="1"/>
  <c r="G22" i="8"/>
  <c r="F22" i="8" s="1"/>
  <c r="G22" i="10"/>
  <c r="F22" i="10" s="1"/>
  <c r="G22" i="9"/>
  <c r="F22" i="9" s="1"/>
  <c r="F51" i="8"/>
  <c r="F50" i="8" s="1"/>
  <c r="F87" i="8" s="1"/>
  <c r="F89" i="8" s="1"/>
  <c r="G50" i="8"/>
  <c r="F30" i="7"/>
  <c r="F29" i="7" s="1"/>
  <c r="F79" i="7" s="1"/>
  <c r="F81" i="7" s="1"/>
  <c r="G29" i="7"/>
  <c r="F45" i="7"/>
  <c r="F44" i="7" s="1"/>
  <c r="F83" i="7" s="1"/>
  <c r="F85" i="7" s="1"/>
  <c r="G44" i="7"/>
  <c r="G27" i="8"/>
  <c r="F27" i="8" s="1"/>
  <c r="G27" i="10"/>
  <c r="F27" i="10" s="1"/>
  <c r="G27" i="9"/>
  <c r="F27" i="9" s="1"/>
  <c r="G25" i="8"/>
  <c r="F25" i="8" s="1"/>
  <c r="G25" i="10"/>
  <c r="F25" i="10" s="1"/>
  <c r="G25" i="9"/>
  <c r="F25" i="9" s="1"/>
  <c r="G51" i="9"/>
  <c r="F52" i="9"/>
  <c r="F51" i="9" s="1"/>
  <c r="F88" i="9" s="1"/>
  <c r="F90" i="9" s="1"/>
  <c r="F30" i="8"/>
  <c r="F29" i="8" s="1"/>
  <c r="F79" i="8" s="1"/>
  <c r="F81" i="8" s="1"/>
  <c r="G29" i="8"/>
  <c r="F45" i="8"/>
  <c r="F44" i="8" s="1"/>
  <c r="F83" i="8" s="1"/>
  <c r="F85" i="8" s="1"/>
  <c r="G44" i="8"/>
  <c r="F48" i="3"/>
  <c r="G47" i="3"/>
  <c r="G29" i="9"/>
  <c r="F30" i="9"/>
  <c r="G18" i="8"/>
  <c r="F18" i="8" s="1"/>
  <c r="G18" i="10"/>
  <c r="F18" i="10" s="1"/>
  <c r="G18" i="9"/>
  <c r="F18" i="9" s="1"/>
  <c r="F54" i="1"/>
  <c r="F64" i="1" s="1"/>
  <c r="F51" i="7"/>
  <c r="F50" i="7" s="1"/>
  <c r="F87" i="7" s="1"/>
  <c r="F89" i="7" s="1"/>
  <c r="G50" i="7"/>
  <c r="G56" i="7" s="1"/>
  <c r="G66" i="7" s="1"/>
  <c r="F30" i="3"/>
  <c r="F29" i="3" s="1"/>
  <c r="F76" i="3" s="1"/>
  <c r="F78" i="3" s="1"/>
  <c r="G29" i="3"/>
  <c r="F30" i="10"/>
  <c r="F29" i="10" s="1"/>
  <c r="F80" i="10" s="1"/>
  <c r="F82" i="10" s="1"/>
  <c r="G29" i="10"/>
  <c r="G17" i="8"/>
  <c r="F17" i="8" s="1"/>
  <c r="G17" i="10"/>
  <c r="F17" i="10" s="1"/>
  <c r="G17" i="9"/>
  <c r="F17" i="9" s="1"/>
  <c r="F42" i="3"/>
  <c r="F41" i="3" s="1"/>
  <c r="F80" i="3" s="1"/>
  <c r="F82" i="3" s="1"/>
  <c r="G41" i="3"/>
  <c r="F46" i="10"/>
  <c r="F45" i="10" s="1"/>
  <c r="F84" i="10" s="1"/>
  <c r="F86" i="10" s="1"/>
  <c r="G45" i="10"/>
  <c r="K73" i="5"/>
  <c r="K66" i="5"/>
  <c r="K60" i="5"/>
  <c r="K43" i="5"/>
  <c r="K26" i="5"/>
  <c r="E102" i="5"/>
  <c r="G14" i="8"/>
  <c r="F13" i="7"/>
  <c r="C102" i="5"/>
  <c r="F96" i="1"/>
  <c r="G53" i="3" l="1"/>
  <c r="G63" i="3" s="1"/>
  <c r="F29" i="9"/>
  <c r="F80" i="9" s="1"/>
  <c r="F82" i="9" s="1"/>
  <c r="K15" i="5"/>
  <c r="K102" i="5" s="1"/>
  <c r="F75" i="7"/>
  <c r="F77" i="7" s="1"/>
  <c r="F98" i="7" s="1"/>
  <c r="F56" i="7"/>
  <c r="F66" i="7" s="1"/>
  <c r="F14" i="8"/>
  <c r="G13" i="8"/>
  <c r="G56" i="8" s="1"/>
  <c r="G66" i="8" s="1"/>
  <c r="M15" i="5"/>
  <c r="L102" i="5"/>
  <c r="F13" i="8" l="1"/>
  <c r="G14" i="9"/>
  <c r="F56" i="8"/>
  <c r="F66" i="8" s="1"/>
  <c r="F75" i="8"/>
  <c r="F77" i="8" s="1"/>
  <c r="F98" i="8" s="1"/>
  <c r="F47" i="3"/>
  <c r="F53" i="3" s="1"/>
  <c r="F63" i="3" s="1"/>
  <c r="F14" i="9" l="1"/>
  <c r="G13" i="9"/>
  <c r="G57" i="9" s="1"/>
  <c r="G67" i="9" s="1"/>
  <c r="F84" i="3"/>
  <c r="F86" i="3" s="1"/>
  <c r="F95" i="3" s="1"/>
  <c r="G14" i="10" l="1"/>
  <c r="F13" i="9"/>
  <c r="F76" i="9" l="1"/>
  <c r="F78" i="9" s="1"/>
  <c r="F99" i="9" s="1"/>
  <c r="F57" i="9"/>
  <c r="F67" i="9" s="1"/>
  <c r="G13" i="10"/>
  <c r="G57" i="10" s="1"/>
  <c r="G67" i="10" s="1"/>
  <c r="F14" i="10"/>
  <c r="F13" i="10" s="1"/>
  <c r="F76" i="10" l="1"/>
  <c r="F78" i="10" s="1"/>
  <c r="F99" i="10" s="1"/>
  <c r="F57" i="10"/>
  <c r="F67" i="10" s="1"/>
</calcChain>
</file>

<file path=xl/sharedStrings.xml><?xml version="1.0" encoding="utf-8"?>
<sst xmlns="http://schemas.openxmlformats.org/spreadsheetml/2006/main" count="1462" uniqueCount="284">
  <si>
    <t>Republic of the Philippines</t>
  </si>
  <si>
    <t>Department of Environment and Natural Resources</t>
  </si>
  <si>
    <t>MINES AND GEOSCIENCES BUREAU</t>
  </si>
  <si>
    <t>Particulars</t>
  </si>
  <si>
    <t>Items</t>
  </si>
  <si>
    <t>Collections for the month of January</t>
  </si>
  <si>
    <t>FUND 101</t>
  </si>
  <si>
    <t>ROYALTY</t>
  </si>
  <si>
    <t>Amendment Fee</t>
  </si>
  <si>
    <t xml:space="preserve">     EGGAR</t>
  </si>
  <si>
    <t>MISCELLANEOUS INCOME</t>
  </si>
  <si>
    <t>TOTAL FUND 101</t>
  </si>
  <si>
    <t>FUND 151</t>
  </si>
  <si>
    <t>TOTAL FUND 151</t>
  </si>
  <si>
    <t>GRAND TOTAL</t>
  </si>
  <si>
    <t>SUMMARY:</t>
  </si>
  <si>
    <t>As of January 31, 2016</t>
  </si>
  <si>
    <t>Certified Correct:</t>
  </si>
  <si>
    <t xml:space="preserve">     Letter of Request</t>
  </si>
  <si>
    <t xml:space="preserve">     Power of Attorney</t>
  </si>
  <si>
    <t>As of February 29, 2016</t>
  </si>
  <si>
    <t>PERMIT FEES</t>
  </si>
  <si>
    <t>Appeal Fee</t>
  </si>
  <si>
    <t>Application Fee</t>
  </si>
  <si>
    <t>Assessment Fee</t>
  </si>
  <si>
    <t>Clearance Fee</t>
  </si>
  <si>
    <t>Conversion Fee</t>
  </si>
  <si>
    <t>Evaluation Fee</t>
  </si>
  <si>
    <t>Filing/Processing Fee</t>
  </si>
  <si>
    <t>Occupation Fee</t>
  </si>
  <si>
    <t>Ore Transport Permit</t>
  </si>
  <si>
    <t>Registration Fee</t>
  </si>
  <si>
    <t>Renewal Fee</t>
  </si>
  <si>
    <t>Transfer/Assignment Fee</t>
  </si>
  <si>
    <t>Other Pemit and Licenses Fee</t>
  </si>
  <si>
    <t>SUPERVISION AND REGULATION ENFORCEMENT FEES</t>
  </si>
  <si>
    <t>Accredation fee</t>
  </si>
  <si>
    <t>CEMCRR</t>
  </si>
  <si>
    <t>Docketing Fee</t>
  </si>
  <si>
    <t>EGGAR</t>
  </si>
  <si>
    <t>Fines and Penalty (late reports)</t>
  </si>
  <si>
    <t>Inspection Fee</t>
  </si>
  <si>
    <t>Investigation fee</t>
  </si>
  <si>
    <t>Mine Waste and Mill Tailing Fee</t>
  </si>
  <si>
    <t>Validation Fee</t>
  </si>
  <si>
    <t>Verification Fee</t>
  </si>
  <si>
    <t>Certified True Copy/Photocopying Fee</t>
  </si>
  <si>
    <t>Forms</t>
  </si>
  <si>
    <t>Letter of Request</t>
  </si>
  <si>
    <t>Power of Attorney</t>
  </si>
  <si>
    <t>OTHER SERVICE INCOME</t>
  </si>
  <si>
    <t>Publication Fee</t>
  </si>
  <si>
    <t>Laboratory Analysis</t>
  </si>
  <si>
    <t>RENT INCOME</t>
  </si>
  <si>
    <t xml:space="preserve">     FUND 101</t>
  </si>
  <si>
    <t xml:space="preserve">     FUND 151</t>
  </si>
  <si>
    <t xml:space="preserve">          TOTAL</t>
  </si>
  <si>
    <t>DISPOSAL OF UNSERVICEABLE PROPERTY</t>
  </si>
  <si>
    <t>SUPERVISION &amp; REGULATION ENFORCEMENT FEE</t>
  </si>
  <si>
    <t>GARND TOTAL</t>
  </si>
  <si>
    <t>Balances as of January 31, 2016</t>
  </si>
  <si>
    <t>Balances as of February 29, 2016</t>
  </si>
  <si>
    <t>Collections for the month of February</t>
  </si>
  <si>
    <t>SUPERV. &amp; REGUL. ENFOR. FEE</t>
  </si>
  <si>
    <t>40201010 21</t>
  </si>
  <si>
    <t>Accredation Fee</t>
  </si>
  <si>
    <t>40201070 01</t>
  </si>
  <si>
    <t>40201010 22</t>
  </si>
  <si>
    <t>40201070 02</t>
  </si>
  <si>
    <t>40201010 23</t>
  </si>
  <si>
    <t>40201070 03</t>
  </si>
  <si>
    <t>40201010 24</t>
  </si>
  <si>
    <t>40201070 04</t>
  </si>
  <si>
    <t>40201010 25</t>
  </si>
  <si>
    <t>Fines &amp; Penalty (late sub.)</t>
  </si>
  <si>
    <t>40201070 05</t>
  </si>
  <si>
    <t>40201010 26</t>
  </si>
  <si>
    <t>40201070 06</t>
  </si>
  <si>
    <t>40201010 27</t>
  </si>
  <si>
    <t>Investigation Fee</t>
  </si>
  <si>
    <t>40201070 07</t>
  </si>
  <si>
    <t>40201010 28</t>
  </si>
  <si>
    <t>Mine Waste &amp; Mill Tailings Fee</t>
  </si>
  <si>
    <t>40201070 08</t>
  </si>
  <si>
    <t>40201010 29</t>
  </si>
  <si>
    <t>40201070 09</t>
  </si>
  <si>
    <t>Ore Transport Permit Fee</t>
  </si>
  <si>
    <t>40201010 30</t>
  </si>
  <si>
    <t>40201070 10</t>
  </si>
  <si>
    <t>40201010 31</t>
  </si>
  <si>
    <t>40201010 32</t>
  </si>
  <si>
    <t>40201010 33</t>
  </si>
  <si>
    <t>Bid Docs/Cert. Elig./Site Ins.</t>
  </si>
  <si>
    <t>40609990 01</t>
  </si>
  <si>
    <t>Other Permit and Licenses (Permit Fee)</t>
  </si>
  <si>
    <t>40201010 99</t>
  </si>
  <si>
    <t>40609990 02</t>
  </si>
  <si>
    <t>40609990 03</t>
  </si>
  <si>
    <t>40609990 04</t>
  </si>
  <si>
    <t>40201990 21</t>
  </si>
  <si>
    <t>Penalty (late Del.)</t>
  </si>
  <si>
    <t>40609990 05</t>
  </si>
  <si>
    <t>Certification for Result of laboratory ana.</t>
  </si>
  <si>
    <t>40201990 22</t>
  </si>
  <si>
    <t>40609990 06</t>
  </si>
  <si>
    <t>Laboratory Analysis Fee</t>
  </si>
  <si>
    <t>40201990 23</t>
  </si>
  <si>
    <t>P.D. 1856</t>
  </si>
  <si>
    <t>20201050 00</t>
  </si>
  <si>
    <t>Rent Income</t>
  </si>
  <si>
    <t>40202050 00</t>
  </si>
  <si>
    <t>Sale of Unserviceable Property</t>
  </si>
  <si>
    <t>40601020 00</t>
  </si>
  <si>
    <t>20401010 02</t>
  </si>
  <si>
    <t>note: PD 1856 is NOT INCOME it is classified as DUE TO OTHER NGA'S</t>
  </si>
  <si>
    <t>ACCOUNT CODES</t>
  </si>
  <si>
    <t>Bid Documents</t>
  </si>
  <si>
    <t>FAR No. 5</t>
  </si>
  <si>
    <t>QUARTERLY REPORT OF REVENUE AND OTHER RECEIPTS</t>
  </si>
  <si>
    <t>(In Pesos)</t>
  </si>
  <si>
    <t>CLASSIFICATION/SOURCES OF REVENUE AND OTHER RECEIPTS</t>
  </si>
  <si>
    <t>UACS CODE</t>
  </si>
  <si>
    <t>REVENUE TARGET (ANNUAL)</t>
  </si>
  <si>
    <t>ACTUAL REVENUE AND OTHER RECEIPTS COLLECTIONS</t>
  </si>
  <si>
    <t>CUMULATIVE REMITTANCE/DEPOSITS TO DATE</t>
  </si>
  <si>
    <t>VARIANCE</t>
  </si>
  <si>
    <t>REMARKS</t>
  </si>
  <si>
    <t>1ST QUARTER</t>
  </si>
  <si>
    <t>2ND QUARTER</t>
  </si>
  <si>
    <t>3RD QUARTER</t>
  </si>
  <si>
    <t>4TH QUARTER</t>
  </si>
  <si>
    <t>TOTAL</t>
  </si>
  <si>
    <t>REMITTANCE TO BTR</t>
  </si>
  <si>
    <t>DEPOSITED WITH AGDB</t>
  </si>
  <si>
    <t>AMOUNT</t>
  </si>
  <si>
    <t>%</t>
  </si>
  <si>
    <t>8=(4+5+6+7)</t>
  </si>
  <si>
    <t>11=(9+10)</t>
  </si>
  <si>
    <t>12=(8-3)</t>
  </si>
  <si>
    <t>13=(12/3)</t>
  </si>
  <si>
    <t>A. General Fund (formerly Fund 101)</t>
  </si>
  <si>
    <t>&gt; Tax</t>
  </si>
  <si>
    <t>&gt; Non-Tax</t>
  </si>
  <si>
    <t>(90% of Royalty Collected = 60% Gov't share/40% LGU Share)</t>
  </si>
  <si>
    <t>Service and Business Income</t>
  </si>
  <si>
    <t>(Fees and Charges)</t>
  </si>
  <si>
    <t xml:space="preserve">     Amendment Fee</t>
  </si>
  <si>
    <t xml:space="preserve">     Appeal Fee</t>
  </si>
  <si>
    <t xml:space="preserve">     Application Fee</t>
  </si>
  <si>
    <t xml:space="preserve">     Assessment Fee</t>
  </si>
  <si>
    <t xml:space="preserve">     Clearance Fee</t>
  </si>
  <si>
    <t xml:space="preserve">     Conversion Fee</t>
  </si>
  <si>
    <t xml:space="preserve">     Evaluation Fee</t>
  </si>
  <si>
    <t xml:space="preserve">    Occupation Fee</t>
  </si>
  <si>
    <t xml:space="preserve">    Ore Transport Permit</t>
  </si>
  <si>
    <t xml:space="preserve">     Registration Fee</t>
  </si>
  <si>
    <t xml:space="preserve">     Renewal Fee</t>
  </si>
  <si>
    <t xml:space="preserve">     Transfer/Assignment Fee</t>
  </si>
  <si>
    <t xml:space="preserve">     Other Pemit and Licenses Fee</t>
  </si>
  <si>
    <t xml:space="preserve">     Accredation fee</t>
  </si>
  <si>
    <t xml:space="preserve">     CEMCRR</t>
  </si>
  <si>
    <t xml:space="preserve">     Docketing Fee</t>
  </si>
  <si>
    <t xml:space="preserve">     Fines and Penalty (late reports)</t>
  </si>
  <si>
    <t xml:space="preserve">     Inspection Fee</t>
  </si>
  <si>
    <t xml:space="preserve">     Investigation fee</t>
  </si>
  <si>
    <t xml:space="preserve">     Mine Waste and Mill Tailing Fee</t>
  </si>
  <si>
    <t xml:space="preserve">     Validation Fee</t>
  </si>
  <si>
    <t xml:space="preserve">     Verification Fee</t>
  </si>
  <si>
    <t xml:space="preserve">     Bid Documents</t>
  </si>
  <si>
    <t xml:space="preserve">     Certified True Copy/Photocopying Fee</t>
  </si>
  <si>
    <t xml:space="preserve">     Publication Fee</t>
  </si>
  <si>
    <t xml:space="preserve">     Certification for Result of Lab. Analysis</t>
  </si>
  <si>
    <t xml:space="preserve">     Laboratory Analysis</t>
  </si>
  <si>
    <t>OTHER RECEIPTS</t>
  </si>
  <si>
    <t>Refund of Excess Cash advances</t>
  </si>
  <si>
    <t>Refund of DisallowanceS/Unfulfilled Scholarship Allowance</t>
  </si>
  <si>
    <t>B. Special Account in th General Fund</t>
  </si>
  <si>
    <t>(formerly Fund 105,183,401,151-159)</t>
  </si>
  <si>
    <t>(10% of collection of Royalty Income = Due to MGB)</t>
  </si>
  <si>
    <t>C. Off-Budget Accounts (Formerly Fund 151 to 164,etc.)</t>
  </si>
  <si>
    <t>Seminar Fees</t>
  </si>
  <si>
    <t>Service Fees (Trust Fund)</t>
  </si>
  <si>
    <t>Performance Bond</t>
  </si>
  <si>
    <t>D. Custodial Funds (formerly Fund 104-184,187)</t>
  </si>
  <si>
    <t>40201070 00</t>
  </si>
  <si>
    <t>40201010 00</t>
  </si>
  <si>
    <t>ROYALTY INCOME</t>
  </si>
  <si>
    <t>40609990 00</t>
  </si>
  <si>
    <t>4609990 04</t>
  </si>
  <si>
    <t>40201990 00</t>
  </si>
  <si>
    <t>19901040 00 /1030</t>
  </si>
  <si>
    <t>10305010 00</t>
  </si>
  <si>
    <t>10305020 00</t>
  </si>
  <si>
    <t>40401010 04</t>
  </si>
  <si>
    <t>Certification Fee</t>
  </si>
  <si>
    <t>40201010 34</t>
  </si>
  <si>
    <t xml:space="preserve">     Certification Fee</t>
  </si>
  <si>
    <t>AIRA L. TORREGOSA</t>
  </si>
  <si>
    <t>Accountant III</t>
  </si>
  <si>
    <t>Delivery Receipts</t>
  </si>
  <si>
    <t xml:space="preserve">     Delivery Receipts</t>
  </si>
  <si>
    <t>:    REGION VII</t>
  </si>
  <si>
    <t>40201070 11</t>
  </si>
  <si>
    <t>EGGAR/ Geohazard Fee/GIS</t>
  </si>
  <si>
    <t>Verification Fee/Umpiring Fee</t>
  </si>
  <si>
    <t>Certification for Result of Lab. Analysis/Certification Fee</t>
  </si>
  <si>
    <t>Forms/Maps</t>
  </si>
  <si>
    <t>Green Plains Subd., Banilad, Mandaue City,CEBU</t>
  </si>
  <si>
    <t>MINES AND GEOSCIENCES</t>
  </si>
  <si>
    <t>REPORT OF INCOME COLLECTED - REGION VII</t>
  </si>
  <si>
    <t>As of March 31, 2016</t>
  </si>
  <si>
    <t>Balances as of March 31, 2016</t>
  </si>
  <si>
    <t>Collections for the month of March</t>
  </si>
  <si>
    <t>Umpiring Fee</t>
  </si>
  <si>
    <t>Processing Fee</t>
  </si>
  <si>
    <t>40201010 35</t>
  </si>
  <si>
    <t xml:space="preserve">     Processing Fee</t>
  </si>
  <si>
    <t>Umiring  Fee</t>
  </si>
  <si>
    <t>40201070 12</t>
  </si>
  <si>
    <t xml:space="preserve">     Umpiring Fee</t>
  </si>
  <si>
    <t>Geohazard Fee</t>
  </si>
  <si>
    <t>Geohazard Identification Survery</t>
  </si>
  <si>
    <t>40201070 13</t>
  </si>
  <si>
    <t>40201070 14</t>
  </si>
  <si>
    <t>Geohazard Identification Survey</t>
  </si>
  <si>
    <t>Filing</t>
  </si>
  <si>
    <t xml:space="preserve">     Geohazard Fee</t>
  </si>
  <si>
    <t xml:space="preserve">     Filing</t>
  </si>
  <si>
    <t>40201070 15</t>
  </si>
  <si>
    <t>Projection Fee</t>
  </si>
  <si>
    <t xml:space="preserve">     Projection  Fee</t>
  </si>
  <si>
    <t>Forms/Map and Map Printout</t>
  </si>
  <si>
    <t xml:space="preserve">     Forms/Maps/Map Printout</t>
  </si>
  <si>
    <t>Refund of Overpayment of Salary and Benefits</t>
  </si>
  <si>
    <t>Department: DEPARTMENT OF ENVIRONMENT AND NATURAL RESOURCES</t>
  </si>
  <si>
    <t xml:space="preserve">Agency:       MINES AND GEOSCIENCES BUREAU </t>
  </si>
  <si>
    <t>Operating Unit: REGIONAL OFFICE VII</t>
  </si>
  <si>
    <t>Organization Code (UACS) : 10 003 0300007</t>
  </si>
  <si>
    <t>Collections for the month of April</t>
  </si>
  <si>
    <t>Balances as of April 30, 2016</t>
  </si>
  <si>
    <t>As of April 30, 2016</t>
  </si>
  <si>
    <t>40201070 16</t>
  </si>
  <si>
    <t>Geological Scoping</t>
  </si>
  <si>
    <t>Collections for the month of May</t>
  </si>
  <si>
    <t>Balances as of May 31, 2016</t>
  </si>
  <si>
    <t>As of May 31, 2016</t>
  </si>
  <si>
    <t>Geologic Scoping</t>
  </si>
  <si>
    <t xml:space="preserve">     Geohazard Identification Survey</t>
  </si>
  <si>
    <t>As of June 30, 2016</t>
  </si>
  <si>
    <t>Balances as of June 30, 2016</t>
  </si>
  <si>
    <t>Collections for the month of June</t>
  </si>
  <si>
    <t xml:space="preserve">     Geologic Scoping</t>
  </si>
  <si>
    <t>As of July 31, 2016</t>
  </si>
  <si>
    <t>Collections for the month of July</t>
  </si>
  <si>
    <t>Balances as of July 31, 2016</t>
  </si>
  <si>
    <t>As of August 31, 2016</t>
  </si>
  <si>
    <t>Collections for the month of August</t>
  </si>
  <si>
    <t>Balances as of Aug. 31, 2016</t>
  </si>
  <si>
    <t>As of September 30, 2016</t>
  </si>
  <si>
    <t>Collections for the month of September</t>
  </si>
  <si>
    <t>Balances as of Sept. 30, 2016</t>
  </si>
  <si>
    <t>As of OCTOBER 31, 2016</t>
  </si>
  <si>
    <t>Collections for the month of October</t>
  </si>
  <si>
    <t>Balances as of Oct. 31, 2016</t>
  </si>
  <si>
    <t>As of NOVEMBER 30, 2016</t>
  </si>
  <si>
    <t>Collections for the month of November</t>
  </si>
  <si>
    <t>As of October 31, 2016</t>
  </si>
  <si>
    <t>Balances as of Nov. 30, 2016</t>
  </si>
  <si>
    <t>OCT</t>
  </si>
  <si>
    <t>NOV</t>
  </si>
  <si>
    <t>DEC</t>
  </si>
  <si>
    <t>As of DECEMBER 31, 2016</t>
  </si>
  <si>
    <t>Collections for the month of December</t>
  </si>
  <si>
    <t>As of Nov. 30, 2016</t>
  </si>
  <si>
    <t>Balances as of Dec. 31, 2016</t>
  </si>
  <si>
    <t>Refund of Excess Payment of Registration Fee</t>
  </si>
  <si>
    <t>50202010 02</t>
  </si>
  <si>
    <t>As of the Quarter Ending DECEMBER 31, 2016</t>
  </si>
  <si>
    <t>Approved by:</t>
  </si>
  <si>
    <t>LORETO B. ALBURO, CESO VI</t>
  </si>
  <si>
    <t>Regional Director</t>
  </si>
  <si>
    <r>
      <t xml:space="preserve">:    </t>
    </r>
    <r>
      <rPr>
        <b/>
        <u/>
        <sz val="9"/>
        <rFont val="Arial"/>
        <family val="2"/>
      </rPr>
      <t>DEPARTMENT OF ENVIRONMENT AND NATURAL RESOURCES</t>
    </r>
  </si>
  <si>
    <r>
      <t xml:space="preserve">:    </t>
    </r>
    <r>
      <rPr>
        <b/>
        <u/>
        <sz val="9"/>
        <rFont val="Arial"/>
        <family val="2"/>
      </rPr>
      <t>MINES AND GEOSCIENCES BUREAU</t>
    </r>
  </si>
  <si>
    <r>
      <t xml:space="preserve">:    </t>
    </r>
    <r>
      <rPr>
        <b/>
        <u/>
        <sz val="9"/>
        <rFont val="Arial"/>
        <family val="2"/>
      </rPr>
      <t>10-003-03-00007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</si>
</sst>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2" fillId="0" borderId="0"/>
    <xf numFmtId="0" fontId="12" fillId="0" borderId="0"/>
  </cellStyleXfs>
  <cellXfs count="227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0" fontId="2" fillId="0" borderId="0" xfId="0" applyFont="1" applyFill="1"/>
    <xf numFmtId="43" fontId="2" fillId="0" borderId="0" xfId="1" applyFont="1" applyFill="1"/>
    <xf numFmtId="0" fontId="3" fillId="0" borderId="3" xfId="0" applyFont="1" applyBorder="1" applyAlignment="1">
      <alignment horizontal="center" vertical="center" wrapText="1"/>
    </xf>
    <xf numFmtId="43" fontId="2" fillId="0" borderId="7" xfId="1" applyFont="1" applyBorder="1"/>
    <xf numFmtId="43" fontId="2" fillId="0" borderId="8" xfId="1" applyFont="1" applyBorder="1"/>
    <xf numFmtId="43" fontId="2" fillId="0" borderId="9" xfId="1" applyFont="1" applyBorder="1"/>
    <xf numFmtId="43" fontId="2" fillId="0" borderId="0" xfId="0" applyNumberFormat="1" applyFont="1"/>
    <xf numFmtId="43" fontId="2" fillId="0" borderId="5" xfId="0" applyNumberFormat="1" applyFont="1" applyBorder="1"/>
    <xf numFmtId="0" fontId="3" fillId="0" borderId="4" xfId="0" applyFont="1" applyBorder="1"/>
    <xf numFmtId="43" fontId="2" fillId="0" borderId="4" xfId="0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7" xfId="1" applyFont="1" applyBorder="1"/>
    <xf numFmtId="0" fontId="3" fillId="0" borderId="7" xfId="0" applyFont="1" applyBorder="1"/>
    <xf numFmtId="0" fontId="2" fillId="0" borderId="7" xfId="0" applyFont="1" applyBorder="1"/>
    <xf numFmtId="43" fontId="3" fillId="0" borderId="8" xfId="1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8" xfId="0" applyFont="1" applyFill="1" applyBorder="1"/>
    <xf numFmtId="43" fontId="3" fillId="0" borderId="9" xfId="1" applyFont="1" applyBorder="1"/>
    <xf numFmtId="0" fontId="3" fillId="0" borderId="9" xfId="0" applyFont="1" applyBorder="1"/>
    <xf numFmtId="0" fontId="2" fillId="0" borderId="9" xfId="0" applyFont="1" applyBorder="1"/>
    <xf numFmtId="43" fontId="3" fillId="0" borderId="10" xfId="1" applyFont="1" applyBorder="1"/>
    <xf numFmtId="43" fontId="3" fillId="0" borderId="1" xfId="1" applyFont="1" applyBorder="1"/>
    <xf numFmtId="43" fontId="3" fillId="0" borderId="1" xfId="1" applyFont="1" applyFill="1" applyBorder="1"/>
    <xf numFmtId="43" fontId="3" fillId="0" borderId="11" xfId="1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11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0" xfId="0" applyFont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5" xfId="0" applyFont="1" applyFill="1" applyBorder="1"/>
    <xf numFmtId="0" fontId="9" fillId="0" borderId="16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9" fillId="0" borderId="19" xfId="0" applyFont="1" applyFill="1" applyBorder="1"/>
    <xf numFmtId="0" fontId="9" fillId="0" borderId="20" xfId="0" applyFont="1" applyFill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4" xfId="0" applyFont="1" applyBorder="1"/>
    <xf numFmtId="0" fontId="9" fillId="0" borderId="3" xfId="0" applyFont="1" applyBorder="1"/>
    <xf numFmtId="0" fontId="8" fillId="0" borderId="21" xfId="0" applyFont="1" applyBorder="1"/>
    <xf numFmtId="0" fontId="9" fillId="0" borderId="0" xfId="0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Fill="1"/>
    <xf numFmtId="43" fontId="4" fillId="0" borderId="0" xfId="3" applyFont="1" applyFill="1"/>
    <xf numFmtId="9" fontId="4" fillId="0" borderId="0" xfId="4" applyFont="1" applyFill="1"/>
    <xf numFmtId="16" fontId="4" fillId="0" borderId="0" xfId="0" quotePrefix="1" applyNumberFormat="1" applyFont="1" applyFill="1" applyAlignment="1">
      <alignment horizontal="center"/>
    </xf>
    <xf numFmtId="2" fontId="4" fillId="0" borderId="0" xfId="5" applyNumberFormat="1" applyFont="1" applyAlignment="1">
      <alignment horizontal="left"/>
    </xf>
    <xf numFmtId="2" fontId="5" fillId="0" borderId="0" xfId="6" quotePrefix="1" applyNumberFormat="1" applyFont="1"/>
    <xf numFmtId="2" fontId="4" fillId="0" borderId="0" xfId="5" applyNumberFormat="1" applyFont="1"/>
    <xf numFmtId="2" fontId="4" fillId="0" borderId="0" xfId="6" applyNumberFormat="1" applyFont="1"/>
    <xf numFmtId="9" fontId="4" fillId="0" borderId="0" xfId="4" applyFont="1"/>
    <xf numFmtId="0" fontId="4" fillId="0" borderId="0" xfId="7" applyFont="1"/>
    <xf numFmtId="43" fontId="4" fillId="0" borderId="0" xfId="1" applyFont="1"/>
    <xf numFmtId="9" fontId="4" fillId="0" borderId="0" xfId="2" applyFont="1" applyAlignment="1">
      <alignment horizontal="center"/>
    </xf>
    <xf numFmtId="0" fontId="4" fillId="2" borderId="0" xfId="7" applyFont="1" applyFill="1"/>
    <xf numFmtId="43" fontId="5" fillId="2" borderId="3" xfId="1" applyFont="1" applyFill="1" applyBorder="1" applyAlignment="1">
      <alignment horizontal="center" vertical="center" wrapText="1"/>
    </xf>
    <xf numFmtId="9" fontId="10" fillId="2" borderId="3" xfId="2" applyFont="1" applyFill="1" applyBorder="1" applyAlignment="1">
      <alignment horizontal="center" vertical="center"/>
    </xf>
    <xf numFmtId="0" fontId="4" fillId="0" borderId="3" xfId="7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 vertical="center"/>
    </xf>
    <xf numFmtId="0" fontId="4" fillId="0" borderId="0" xfId="7" applyNumberFormat="1" applyFont="1"/>
    <xf numFmtId="43" fontId="4" fillId="0" borderId="22" xfId="1" applyFont="1" applyBorder="1"/>
    <xf numFmtId="43" fontId="4" fillId="0" borderId="1" xfId="1" applyFont="1" applyBorder="1"/>
    <xf numFmtId="43" fontId="4" fillId="0" borderId="6" xfId="1" applyFont="1" applyBorder="1"/>
    <xf numFmtId="43" fontId="4" fillId="0" borderId="0" xfId="1" applyFont="1" applyBorder="1"/>
    <xf numFmtId="9" fontId="4" fillId="0" borderId="1" xfId="2" applyFont="1" applyBorder="1" applyAlignment="1">
      <alignment horizontal="center"/>
    </xf>
    <xf numFmtId="43" fontId="5" fillId="0" borderId="22" xfId="1" applyFont="1" applyBorder="1"/>
    <xf numFmtId="43" fontId="5" fillId="0" borderId="3" xfId="1" applyFont="1" applyBorder="1"/>
    <xf numFmtId="43" fontId="5" fillId="0" borderId="22" xfId="1" applyFont="1" applyBorder="1" applyAlignment="1">
      <alignment horizontal="left" indent="1"/>
    </xf>
    <xf numFmtId="43" fontId="4" fillId="0" borderId="1" xfId="1" applyFont="1" applyFill="1" applyBorder="1"/>
    <xf numFmtId="43" fontId="5" fillId="0" borderId="0" xfId="7" applyNumberFormat="1" applyFont="1"/>
    <xf numFmtId="0" fontId="5" fillId="0" borderId="0" xfId="7" applyFont="1"/>
    <xf numFmtId="43" fontId="4" fillId="0" borderId="1" xfId="1" applyFont="1" applyBorder="1" applyAlignment="1">
      <alignment horizontal="left" wrapText="1" indent="3"/>
    </xf>
    <xf numFmtId="43" fontId="4" fillId="0" borderId="1" xfId="1" applyFont="1" applyFill="1" applyBorder="1" applyAlignment="1">
      <alignment horizontal="left" wrapText="1"/>
    </xf>
    <xf numFmtId="43" fontId="4" fillId="0" borderId="1" xfId="1" applyFont="1" applyBorder="1" applyAlignment="1">
      <alignment horizontal="left" indent="2"/>
    </xf>
    <xf numFmtId="43" fontId="5" fillId="0" borderId="1" xfId="1" applyFont="1" applyFill="1" applyBorder="1" applyAlignment="1">
      <alignment horizontal="left" indent="2"/>
    </xf>
    <xf numFmtId="43" fontId="5" fillId="0" borderId="1" xfId="1" applyFont="1" applyFill="1" applyBorder="1"/>
    <xf numFmtId="9" fontId="5" fillId="0" borderId="1" xfId="2" applyFont="1" applyFill="1" applyBorder="1" applyAlignment="1">
      <alignment horizontal="center"/>
    </xf>
    <xf numFmtId="0" fontId="4" fillId="0" borderId="0" xfId="7" applyFont="1" applyFill="1"/>
    <xf numFmtId="0" fontId="5" fillId="0" borderId="0" xfId="7" applyFont="1" applyFill="1"/>
    <xf numFmtId="43" fontId="11" fillId="0" borderId="1" xfId="1" applyFont="1" applyFill="1" applyBorder="1" applyAlignment="1">
      <alignment horizontal="left" indent="2"/>
    </xf>
    <xf numFmtId="43" fontId="4" fillId="0" borderId="1" xfId="1" applyFont="1" applyFill="1" applyBorder="1" applyAlignment="1">
      <alignment horizontal="center"/>
    </xf>
    <xf numFmtId="9" fontId="4" fillId="0" borderId="1" xfId="2" applyFont="1" applyFill="1" applyBorder="1" applyAlignment="1">
      <alignment horizontal="center"/>
    </xf>
    <xf numFmtId="43" fontId="5" fillId="0" borderId="3" xfId="1" applyFont="1" applyFill="1" applyBorder="1"/>
    <xf numFmtId="0" fontId="2" fillId="0" borderId="1" xfId="0" applyFont="1" applyBorder="1"/>
    <xf numFmtId="43" fontId="4" fillId="0" borderId="0" xfId="1" applyFont="1" applyFill="1" applyBorder="1"/>
    <xf numFmtId="0" fontId="2" fillId="0" borderId="1" xfId="0" applyFont="1" applyFill="1" applyBorder="1"/>
    <xf numFmtId="43" fontId="4" fillId="0" borderId="2" xfId="1" applyFont="1" applyBorder="1"/>
    <xf numFmtId="43" fontId="5" fillId="0" borderId="22" xfId="1" applyFont="1" applyFill="1" applyBorder="1" applyAlignment="1">
      <alignment horizontal="left" indent="4"/>
    </xf>
    <xf numFmtId="43" fontId="5" fillId="0" borderId="22" xfId="1" applyFont="1" applyFill="1" applyBorder="1" applyAlignment="1"/>
    <xf numFmtId="43" fontId="4" fillId="0" borderId="22" xfId="1" applyFont="1" applyFill="1" applyBorder="1" applyAlignment="1">
      <alignment horizontal="left" indent="4"/>
    </xf>
    <xf numFmtId="43" fontId="4" fillId="0" borderId="22" xfId="1" applyFont="1" applyFill="1" applyBorder="1" applyAlignment="1">
      <alignment horizontal="left" indent="3"/>
    </xf>
    <xf numFmtId="43" fontId="5" fillId="0" borderId="22" xfId="1" applyFont="1" applyFill="1" applyBorder="1"/>
    <xf numFmtId="43" fontId="4" fillId="0" borderId="22" xfId="1" applyFont="1" applyFill="1" applyBorder="1" applyAlignment="1">
      <alignment horizontal="left" indent="1"/>
    </xf>
    <xf numFmtId="43" fontId="5" fillId="0" borderId="22" xfId="1" applyFont="1" applyFill="1" applyBorder="1" applyAlignment="1">
      <alignment horizontal="left" indent="1"/>
    </xf>
    <xf numFmtId="43" fontId="4" fillId="0" borderId="22" xfId="1" applyFont="1" applyFill="1" applyBorder="1"/>
    <xf numFmtId="43" fontId="5" fillId="0" borderId="23" xfId="1" applyFont="1" applyFill="1" applyBorder="1"/>
    <xf numFmtId="43" fontId="5" fillId="0" borderId="24" xfId="1" applyFont="1" applyFill="1" applyBorder="1"/>
    <xf numFmtId="9" fontId="5" fillId="0" borderId="24" xfId="2" applyFont="1" applyFill="1" applyBorder="1" applyAlignment="1">
      <alignment horizontal="center"/>
    </xf>
    <xf numFmtId="43" fontId="5" fillId="0" borderId="0" xfId="1" applyFont="1" applyFill="1"/>
    <xf numFmtId="43" fontId="4" fillId="0" borderId="0" xfId="1" applyFont="1" applyFill="1"/>
    <xf numFmtId="9" fontId="4" fillId="0" borderId="0" xfId="2" applyFont="1" applyFill="1" applyAlignment="1">
      <alignment horizontal="center"/>
    </xf>
    <xf numFmtId="0" fontId="4" fillId="0" borderId="0" xfId="7" applyFont="1" applyFill="1" applyBorder="1"/>
    <xf numFmtId="0" fontId="4" fillId="0" borderId="0" xfId="7" applyFont="1" applyFill="1" applyAlignment="1">
      <alignment horizontal="left" indent="2"/>
    </xf>
    <xf numFmtId="43" fontId="4" fillId="0" borderId="0" xfId="1" applyFont="1" applyFill="1" applyAlignment="1">
      <alignment horizontal="left" indent="2"/>
    </xf>
    <xf numFmtId="43" fontId="5" fillId="0" borderId="1" xfId="1" applyFont="1" applyFill="1" applyBorder="1" applyAlignment="1">
      <alignment wrapText="1"/>
    </xf>
    <xf numFmtId="43" fontId="5" fillId="0" borderId="1" xfId="1" applyFont="1" applyBorder="1"/>
    <xf numFmtId="43" fontId="5" fillId="0" borderId="4" xfId="1" applyFont="1" applyFill="1" applyBorder="1"/>
    <xf numFmtId="43" fontId="5" fillId="0" borderId="3" xfId="1" applyFont="1" applyFill="1" applyBorder="1" applyAlignment="1">
      <alignment horizontal="center"/>
    </xf>
    <xf numFmtId="43" fontId="5" fillId="0" borderId="22" xfId="1" applyFont="1" applyBorder="1" applyAlignme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9" fontId="4" fillId="0" borderId="0" xfId="2" applyFont="1" applyFill="1" applyBorder="1" applyAlignment="1">
      <alignment horizontal="center"/>
    </xf>
    <xf numFmtId="0" fontId="13" fillId="0" borderId="0" xfId="8" applyFont="1" applyBorder="1"/>
    <xf numFmtId="0" fontId="13" fillId="0" borderId="0" xfId="9" applyFont="1" applyBorder="1"/>
    <xf numFmtId="43" fontId="2" fillId="0" borderId="8" xfId="0" applyNumberFormat="1" applyFont="1" applyBorder="1"/>
    <xf numFmtId="0" fontId="9" fillId="0" borderId="18" xfId="0" applyFont="1" applyFill="1" applyBorder="1" applyAlignment="1"/>
    <xf numFmtId="43" fontId="5" fillId="0" borderId="0" xfId="1" applyFont="1" applyFill="1" applyAlignment="1"/>
    <xf numFmtId="0" fontId="9" fillId="0" borderId="0" xfId="0" applyFont="1" applyFill="1" applyBorder="1"/>
    <xf numFmtId="2" fontId="5" fillId="0" borderId="1" xfId="6" quotePrefix="1" applyNumberFormat="1" applyFont="1" applyBorder="1"/>
    <xf numFmtId="2" fontId="5" fillId="0" borderId="2" xfId="6" quotePrefix="1" applyNumberFormat="1" applyFont="1" applyBorder="1"/>
    <xf numFmtId="43" fontId="4" fillId="0" borderId="1" xfId="1" quotePrefix="1" applyFont="1" applyBorder="1"/>
    <xf numFmtId="43" fontId="4" fillId="0" borderId="0" xfId="1" quotePrefix="1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3" fontId="3" fillId="0" borderId="7" xfId="1" applyFont="1" applyFill="1" applyBorder="1"/>
    <xf numFmtId="0" fontId="3" fillId="0" borderId="7" xfId="0" applyFont="1" applyFill="1" applyBorder="1"/>
    <xf numFmtId="0" fontId="2" fillId="0" borderId="7" xfId="0" applyFont="1" applyFill="1" applyBorder="1"/>
    <xf numFmtId="43" fontId="2" fillId="0" borderId="7" xfId="1" applyFont="1" applyFill="1" applyBorder="1"/>
    <xf numFmtId="43" fontId="3" fillId="0" borderId="10" xfId="1" applyFont="1" applyFill="1" applyBorder="1"/>
    <xf numFmtId="43" fontId="3" fillId="0" borderId="8" xfId="1" applyFont="1" applyFill="1" applyBorder="1"/>
    <xf numFmtId="0" fontId="3" fillId="0" borderId="10" xfId="0" applyFont="1" applyFill="1" applyBorder="1"/>
    <xf numFmtId="43" fontId="2" fillId="0" borderId="8" xfId="1" applyFont="1" applyFill="1" applyBorder="1"/>
    <xf numFmtId="43" fontId="2" fillId="0" borderId="8" xfId="0" applyNumberFormat="1" applyFont="1" applyFill="1" applyBorder="1"/>
    <xf numFmtId="0" fontId="3" fillId="0" borderId="11" xfId="0" applyFont="1" applyFill="1" applyBorder="1"/>
    <xf numFmtId="0" fontId="3" fillId="0" borderId="8" xfId="0" applyFont="1" applyFill="1" applyBorder="1"/>
    <xf numFmtId="43" fontId="3" fillId="0" borderId="0" xfId="1" applyFont="1" applyFill="1"/>
    <xf numFmtId="0" fontId="3" fillId="0" borderId="0" xfId="0" applyFont="1" applyFill="1"/>
    <xf numFmtId="43" fontId="3" fillId="0" borderId="11" xfId="1" applyFont="1" applyFill="1" applyBorder="1"/>
    <xf numFmtId="43" fontId="3" fillId="0" borderId="9" xfId="1" applyFont="1" applyFill="1" applyBorder="1"/>
    <xf numFmtId="0" fontId="3" fillId="0" borderId="9" xfId="0" applyFont="1" applyFill="1" applyBorder="1"/>
    <xf numFmtId="0" fontId="2" fillId="0" borderId="9" xfId="0" applyFont="1" applyFill="1" applyBorder="1"/>
    <xf numFmtId="43" fontId="2" fillId="0" borderId="9" xfId="1" applyFont="1" applyFill="1" applyBorder="1"/>
    <xf numFmtId="43" fontId="2" fillId="0" borderId="0" xfId="0" applyNumberFormat="1" applyFont="1" applyFill="1"/>
    <xf numFmtId="0" fontId="3" fillId="0" borderId="4" xfId="0" applyFont="1" applyFill="1" applyBorder="1"/>
    <xf numFmtId="43" fontId="2" fillId="0" borderId="4" xfId="0" applyNumberFormat="1" applyFont="1" applyFill="1" applyBorder="1"/>
    <xf numFmtId="43" fontId="2" fillId="0" borderId="5" xfId="0" applyNumberFormat="1" applyFont="1" applyFill="1" applyBorder="1"/>
    <xf numFmtId="0" fontId="4" fillId="0" borderId="8" xfId="0" applyFont="1" applyFill="1" applyBorder="1"/>
    <xf numFmtId="0" fontId="3" fillId="0" borderId="0" xfId="0" applyFont="1" applyFill="1" applyAlignment="1"/>
    <xf numFmtId="43" fontId="3" fillId="0" borderId="0" xfId="0" applyNumberFormat="1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3" fillId="0" borderId="0" xfId="0" applyNumberFormat="1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4" fillId="0" borderId="0" xfId="7" applyNumberFormat="1" applyFont="1"/>
    <xf numFmtId="43" fontId="2" fillId="0" borderId="0" xfId="1" applyFont="1" applyFill="1" applyBorder="1"/>
    <xf numFmtId="0" fontId="5" fillId="0" borderId="0" xfId="7" applyFont="1" applyFill="1" applyBorder="1"/>
    <xf numFmtId="43" fontId="4" fillId="0" borderId="0" xfId="7" applyNumberFormat="1" applyFont="1" applyFill="1"/>
    <xf numFmtId="0" fontId="4" fillId="0" borderId="0" xfId="0" applyFont="1" applyFill="1" applyBorder="1"/>
    <xf numFmtId="2" fontId="4" fillId="0" borderId="0" xfId="6" applyNumberFormat="1" applyFont="1" applyFill="1"/>
    <xf numFmtId="43" fontId="4" fillId="0" borderId="6" xfId="1" applyFont="1" applyFill="1" applyBorder="1"/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2" borderId="3" xfId="7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/>
    </xf>
    <xf numFmtId="0" fontId="14" fillId="0" borderId="0" xfId="7" applyFont="1"/>
    <xf numFmtId="0" fontId="15" fillId="0" borderId="0" xfId="7" applyFont="1"/>
    <xf numFmtId="43" fontId="15" fillId="0" borderId="0" xfId="1" applyFont="1"/>
    <xf numFmtId="43" fontId="15" fillId="0" borderId="0" xfId="1" applyFont="1" applyFill="1"/>
    <xf numFmtId="9" fontId="15" fillId="0" borderId="0" xfId="2" applyFont="1" applyAlignment="1">
      <alignment horizontal="center"/>
    </xf>
    <xf numFmtId="43" fontId="16" fillId="0" borderId="0" xfId="3" applyFont="1" applyFill="1"/>
    <xf numFmtId="2" fontId="17" fillId="0" borderId="0" xfId="6" quotePrefix="1" applyNumberFormat="1" applyFont="1"/>
    <xf numFmtId="0" fontId="19" fillId="0" borderId="0" xfId="7" applyFont="1"/>
    <xf numFmtId="0" fontId="17" fillId="2" borderId="3" xfId="7" applyFont="1" applyFill="1" applyBorder="1" applyAlignment="1">
      <alignment horizontal="center"/>
    </xf>
    <xf numFmtId="0" fontId="16" fillId="0" borderId="3" xfId="7" applyNumberFormat="1" applyFont="1" applyFill="1" applyBorder="1" applyAlignment="1">
      <alignment horizontal="center" vertical="center"/>
    </xf>
    <xf numFmtId="43" fontId="16" fillId="0" borderId="1" xfId="1" applyFont="1" applyBorder="1"/>
    <xf numFmtId="43" fontId="17" fillId="0" borderId="3" xfId="1" applyFont="1" applyBorder="1"/>
    <xf numFmtId="43" fontId="16" fillId="0" borderId="1" xfId="1" applyFont="1" applyBorder="1" applyAlignment="1">
      <alignment horizontal="center"/>
    </xf>
    <xf numFmtId="43" fontId="17" fillId="0" borderId="3" xfId="1" applyFont="1" applyBorder="1" applyAlignment="1">
      <alignment horizontal="center"/>
    </xf>
    <xf numFmtId="43" fontId="17" fillId="0" borderId="1" xfId="1" applyFont="1" applyFill="1" applyBorder="1" applyAlignment="1">
      <alignment horizontal="center"/>
    </xf>
    <xf numFmtId="43" fontId="16" fillId="0" borderId="1" xfId="1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43" fontId="17" fillId="0" borderId="3" xfId="1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/>
    </xf>
    <xf numFmtId="43" fontId="17" fillId="0" borderId="24" xfId="1" applyFont="1" applyFill="1" applyBorder="1"/>
    <xf numFmtId="0" fontId="16" fillId="0" borderId="0" xfId="7" applyFont="1" applyFill="1"/>
    <xf numFmtId="43" fontId="16" fillId="0" borderId="0" xfId="1" applyFont="1" applyFill="1"/>
    <xf numFmtId="43" fontId="17" fillId="0" borderId="0" xfId="1" applyFont="1" applyFill="1" applyAlignment="1"/>
    <xf numFmtId="0" fontId="16" fillId="0" borderId="0" xfId="7" applyFont="1"/>
  </cellXfs>
  <cellStyles count="10">
    <cellStyle name="Comma" xfId="1" builtinId="3"/>
    <cellStyle name="Comma 2" xfId="6"/>
    <cellStyle name="Comma 6" xfId="3"/>
    <cellStyle name="Normal" xfId="0" builtinId="0"/>
    <cellStyle name="Normal 2" xfId="5"/>
    <cellStyle name="Normal_Book4" xfId="9"/>
    <cellStyle name="Normal_far 1 as of december 31, 2014" xfId="8"/>
    <cellStyle name="Normal_joint circular (coa-dbm format)" xfId="7"/>
    <cellStyle name="Percent" xfId="2" builtinId="5"/>
    <cellStyle name="Percent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56"/>
  <sheetViews>
    <sheetView topLeftCell="A13" workbookViewId="0">
      <selection activeCell="F31" sqref="F31"/>
    </sheetView>
  </sheetViews>
  <sheetFormatPr defaultRowHeight="15" x14ac:dyDescent="0.25"/>
  <cols>
    <col min="2" max="2" width="35.140625" customWidth="1"/>
    <col min="3" max="3" width="16" customWidth="1"/>
    <col min="4" max="4" width="23" customWidth="1"/>
    <col min="6" max="6" width="48.28515625" customWidth="1"/>
    <col min="7" max="7" width="2.5703125" customWidth="1"/>
    <col min="8" max="8" width="26.5703125" customWidth="1"/>
  </cols>
  <sheetData>
    <row r="1" spans="2:5" ht="22.5" customHeight="1" x14ac:dyDescent="0.25">
      <c r="D1" s="62" t="s">
        <v>115</v>
      </c>
    </row>
    <row r="3" spans="2:5" ht="15.75" x14ac:dyDescent="0.25">
      <c r="B3" s="35" t="s">
        <v>21</v>
      </c>
      <c r="C3" s="35"/>
      <c r="D3" s="35" t="s">
        <v>185</v>
      </c>
      <c r="E3" s="36"/>
    </row>
    <row r="4" spans="2:5" ht="15.75" x14ac:dyDescent="0.25">
      <c r="B4" s="38" t="s">
        <v>8</v>
      </c>
      <c r="C4" s="39"/>
      <c r="D4" s="40" t="s">
        <v>64</v>
      </c>
      <c r="E4" s="41"/>
    </row>
    <row r="5" spans="2:5" ht="15.75" x14ac:dyDescent="0.25">
      <c r="B5" s="45" t="s">
        <v>22</v>
      </c>
      <c r="C5" s="46"/>
      <c r="D5" s="47" t="s">
        <v>67</v>
      </c>
      <c r="E5" s="41"/>
    </row>
    <row r="6" spans="2:5" ht="15.75" x14ac:dyDescent="0.25">
      <c r="B6" s="45" t="s">
        <v>23</v>
      </c>
      <c r="C6" s="46"/>
      <c r="D6" s="47" t="s">
        <v>69</v>
      </c>
      <c r="E6" s="41"/>
    </row>
    <row r="7" spans="2:5" ht="15.75" x14ac:dyDescent="0.25">
      <c r="B7" s="45" t="s">
        <v>24</v>
      </c>
      <c r="C7" s="46"/>
      <c r="D7" s="47" t="s">
        <v>71</v>
      </c>
      <c r="E7" s="41"/>
    </row>
    <row r="8" spans="2:5" ht="15.75" x14ac:dyDescent="0.25">
      <c r="B8" s="45" t="s">
        <v>25</v>
      </c>
      <c r="C8" s="46"/>
      <c r="D8" s="47" t="s">
        <v>73</v>
      </c>
      <c r="E8" s="41"/>
    </row>
    <row r="9" spans="2:5" ht="15.75" x14ac:dyDescent="0.25">
      <c r="B9" s="45" t="s">
        <v>26</v>
      </c>
      <c r="C9" s="46"/>
      <c r="D9" s="47" t="s">
        <v>76</v>
      </c>
      <c r="E9" s="41"/>
    </row>
    <row r="10" spans="2:5" ht="15.75" x14ac:dyDescent="0.25">
      <c r="B10" s="45" t="s">
        <v>27</v>
      </c>
      <c r="C10" s="46"/>
      <c r="D10" s="47" t="s">
        <v>78</v>
      </c>
      <c r="E10" s="41"/>
    </row>
    <row r="11" spans="2:5" ht="15.75" x14ac:dyDescent="0.25">
      <c r="B11" s="45" t="s">
        <v>28</v>
      </c>
      <c r="C11" s="46"/>
      <c r="D11" s="47" t="s">
        <v>81</v>
      </c>
      <c r="E11" s="41"/>
    </row>
    <row r="12" spans="2:5" ht="15.75" x14ac:dyDescent="0.25">
      <c r="B12" s="45" t="s">
        <v>29</v>
      </c>
      <c r="C12" s="46"/>
      <c r="D12" s="47" t="s">
        <v>84</v>
      </c>
      <c r="E12" s="41"/>
    </row>
    <row r="13" spans="2:5" ht="15.75" x14ac:dyDescent="0.25">
      <c r="B13" s="45" t="s">
        <v>86</v>
      </c>
      <c r="C13" s="46"/>
      <c r="D13" s="47" t="s">
        <v>87</v>
      </c>
      <c r="E13" s="41"/>
    </row>
    <row r="14" spans="2:5" ht="15.75" x14ac:dyDescent="0.25">
      <c r="B14" s="45" t="s">
        <v>31</v>
      </c>
      <c r="C14" s="46"/>
      <c r="D14" s="47" t="s">
        <v>89</v>
      </c>
      <c r="E14" s="41"/>
    </row>
    <row r="15" spans="2:5" ht="15.75" x14ac:dyDescent="0.25">
      <c r="B15" s="45" t="s">
        <v>32</v>
      </c>
      <c r="C15" s="46"/>
      <c r="D15" s="47" t="s">
        <v>90</v>
      </c>
      <c r="E15" s="41"/>
    </row>
    <row r="16" spans="2:5" ht="15.75" x14ac:dyDescent="0.25">
      <c r="B16" s="45" t="s">
        <v>33</v>
      </c>
      <c r="C16" s="46"/>
      <c r="D16" s="47" t="s">
        <v>91</v>
      </c>
      <c r="E16" s="41"/>
    </row>
    <row r="17" spans="2:5" ht="15.75" x14ac:dyDescent="0.25">
      <c r="B17" s="133" t="s">
        <v>194</v>
      </c>
      <c r="C17" s="134"/>
      <c r="D17" s="135" t="s">
        <v>195</v>
      </c>
      <c r="E17" s="41"/>
    </row>
    <row r="18" spans="2:5" ht="15.75" x14ac:dyDescent="0.25">
      <c r="B18" s="133" t="s">
        <v>214</v>
      </c>
      <c r="C18" s="134"/>
      <c r="D18" s="135" t="s">
        <v>215</v>
      </c>
      <c r="E18" s="41"/>
    </row>
    <row r="19" spans="2:5" ht="15.75" x14ac:dyDescent="0.25">
      <c r="B19" s="54" t="s">
        <v>94</v>
      </c>
      <c r="C19" s="55"/>
      <c r="D19" s="56" t="s">
        <v>95</v>
      </c>
      <c r="E19" s="41"/>
    </row>
    <row r="20" spans="2:5" ht="15.75" x14ac:dyDescent="0.25">
      <c r="B20" s="60"/>
      <c r="C20" s="60"/>
      <c r="D20" s="60"/>
      <c r="E20" s="41"/>
    </row>
    <row r="21" spans="2:5" ht="15.75" x14ac:dyDescent="0.25">
      <c r="B21" s="37" t="s">
        <v>63</v>
      </c>
      <c r="C21" s="37"/>
      <c r="D21" s="131" t="s">
        <v>66</v>
      </c>
      <c r="E21" s="41"/>
    </row>
    <row r="22" spans="2:5" ht="15.75" x14ac:dyDescent="0.25">
      <c r="B22" s="42" t="s">
        <v>65</v>
      </c>
      <c r="C22" s="43"/>
      <c r="D22" s="44" t="s">
        <v>66</v>
      </c>
      <c r="E22" s="41"/>
    </row>
    <row r="23" spans="2:5" ht="15.75" x14ac:dyDescent="0.25">
      <c r="B23" s="48" t="s">
        <v>37</v>
      </c>
      <c r="C23" s="49"/>
      <c r="D23" s="50" t="s">
        <v>68</v>
      </c>
      <c r="E23" s="41"/>
    </row>
    <row r="24" spans="2:5" ht="15.75" x14ac:dyDescent="0.25">
      <c r="B24" s="48" t="s">
        <v>38</v>
      </c>
      <c r="C24" s="49"/>
      <c r="D24" s="50" t="s">
        <v>70</v>
      </c>
      <c r="E24" s="41"/>
    </row>
    <row r="25" spans="2:5" ht="15.75" x14ac:dyDescent="0.25">
      <c r="B25" s="48" t="s">
        <v>39</v>
      </c>
      <c r="C25" s="49"/>
      <c r="D25" s="50" t="s">
        <v>72</v>
      </c>
      <c r="E25" s="41"/>
    </row>
    <row r="26" spans="2:5" ht="15.75" x14ac:dyDescent="0.25">
      <c r="B26" s="48" t="s">
        <v>74</v>
      </c>
      <c r="C26" s="49"/>
      <c r="D26" s="50" t="s">
        <v>75</v>
      </c>
      <c r="E26" s="41"/>
    </row>
    <row r="27" spans="2:5" ht="15.75" x14ac:dyDescent="0.25">
      <c r="B27" s="48" t="s">
        <v>41</v>
      </c>
      <c r="C27" s="49"/>
      <c r="D27" s="50" t="s">
        <v>77</v>
      </c>
      <c r="E27" s="41"/>
    </row>
    <row r="28" spans="2:5" ht="15.75" x14ac:dyDescent="0.25">
      <c r="B28" s="48" t="s">
        <v>79</v>
      </c>
      <c r="C28" s="49"/>
      <c r="D28" s="50" t="s">
        <v>80</v>
      </c>
      <c r="E28" s="41"/>
    </row>
    <row r="29" spans="2:5" ht="15.75" x14ac:dyDescent="0.25">
      <c r="B29" s="48" t="s">
        <v>82</v>
      </c>
      <c r="C29" s="49"/>
      <c r="D29" s="50" t="s">
        <v>83</v>
      </c>
    </row>
    <row r="30" spans="2:5" ht="15.75" x14ac:dyDescent="0.25">
      <c r="B30" s="48" t="s">
        <v>44</v>
      </c>
      <c r="C30" s="49"/>
      <c r="D30" s="50" t="s">
        <v>85</v>
      </c>
    </row>
    <row r="31" spans="2:5" ht="15.75" x14ac:dyDescent="0.25">
      <c r="B31" s="51" t="s">
        <v>45</v>
      </c>
      <c r="C31" s="52"/>
      <c r="D31" s="53" t="s">
        <v>88</v>
      </c>
    </row>
    <row r="32" spans="2:5" ht="15.75" x14ac:dyDescent="0.25">
      <c r="B32" s="140" t="s">
        <v>200</v>
      </c>
      <c r="C32" s="52"/>
      <c r="D32" s="53" t="s">
        <v>202</v>
      </c>
    </row>
    <row r="33" spans="2:4" ht="15.75" x14ac:dyDescent="0.25">
      <c r="B33" s="51" t="s">
        <v>217</v>
      </c>
      <c r="C33" s="142"/>
      <c r="D33" s="53" t="s">
        <v>218</v>
      </c>
    </row>
    <row r="34" spans="2:4" ht="15.75" x14ac:dyDescent="0.25">
      <c r="B34" s="142" t="s">
        <v>220</v>
      </c>
      <c r="C34" s="142"/>
      <c r="D34" s="53" t="s">
        <v>222</v>
      </c>
    </row>
    <row r="35" spans="2:4" ht="15.75" x14ac:dyDescent="0.25">
      <c r="B35" s="142" t="s">
        <v>221</v>
      </c>
      <c r="C35" s="142"/>
      <c r="D35" s="53" t="s">
        <v>223</v>
      </c>
    </row>
    <row r="36" spans="2:4" ht="15.75" x14ac:dyDescent="0.25">
      <c r="B36" s="142" t="s">
        <v>229</v>
      </c>
      <c r="C36" s="142"/>
      <c r="D36" s="53" t="s">
        <v>228</v>
      </c>
    </row>
    <row r="37" spans="2:4" ht="15.75" x14ac:dyDescent="0.25">
      <c r="B37" s="142" t="s">
        <v>242</v>
      </c>
      <c r="C37" s="142"/>
      <c r="D37" s="53" t="s">
        <v>241</v>
      </c>
    </row>
    <row r="38" spans="2:4" ht="15.75" x14ac:dyDescent="0.25">
      <c r="B38" s="41"/>
      <c r="C38" s="41"/>
      <c r="D38" s="41"/>
    </row>
    <row r="39" spans="2:4" ht="15.75" x14ac:dyDescent="0.25">
      <c r="B39" s="36" t="s">
        <v>10</v>
      </c>
      <c r="C39" s="41"/>
      <c r="D39" s="132" t="s">
        <v>187</v>
      </c>
    </row>
    <row r="40" spans="2:4" ht="15.75" x14ac:dyDescent="0.25">
      <c r="B40" s="38" t="s">
        <v>92</v>
      </c>
      <c r="C40" s="39"/>
      <c r="D40" s="40" t="s">
        <v>93</v>
      </c>
    </row>
    <row r="41" spans="2:4" ht="15.75" x14ac:dyDescent="0.25">
      <c r="B41" s="45" t="s">
        <v>46</v>
      </c>
      <c r="C41" s="46"/>
      <c r="D41" s="47" t="s">
        <v>96</v>
      </c>
    </row>
    <row r="42" spans="2:4" ht="15.75" x14ac:dyDescent="0.25">
      <c r="B42" s="45" t="s">
        <v>47</v>
      </c>
      <c r="C42" s="46"/>
      <c r="D42" s="47" t="s">
        <v>97</v>
      </c>
    </row>
    <row r="43" spans="2:4" ht="15.75" x14ac:dyDescent="0.25">
      <c r="B43" s="45" t="s">
        <v>48</v>
      </c>
      <c r="C43" s="46"/>
      <c r="D43" s="47" t="s">
        <v>98</v>
      </c>
    </row>
    <row r="44" spans="2:4" ht="15.75" x14ac:dyDescent="0.25">
      <c r="B44" s="45" t="s">
        <v>100</v>
      </c>
      <c r="C44" s="46"/>
      <c r="D44" s="47" t="s">
        <v>101</v>
      </c>
    </row>
    <row r="45" spans="2:4" ht="15.75" x14ac:dyDescent="0.25">
      <c r="B45" s="54" t="s">
        <v>49</v>
      </c>
      <c r="C45" s="55"/>
      <c r="D45" s="56" t="s">
        <v>104</v>
      </c>
    </row>
    <row r="46" spans="2:4" ht="15.75" x14ac:dyDescent="0.25">
      <c r="B46" s="60"/>
      <c r="C46" s="60"/>
      <c r="D46" s="60"/>
    </row>
    <row r="47" spans="2:4" ht="15.75" x14ac:dyDescent="0.25">
      <c r="B47" s="36" t="s">
        <v>50</v>
      </c>
      <c r="C47" s="41"/>
      <c r="D47" s="132" t="s">
        <v>189</v>
      </c>
    </row>
    <row r="48" spans="2:4" ht="15.75" x14ac:dyDescent="0.25">
      <c r="B48" s="38" t="s">
        <v>51</v>
      </c>
      <c r="C48" s="39"/>
      <c r="D48" s="40" t="s">
        <v>99</v>
      </c>
    </row>
    <row r="49" spans="2:5" ht="15.75" x14ac:dyDescent="0.25">
      <c r="B49" s="45" t="s">
        <v>102</v>
      </c>
      <c r="C49" s="46"/>
      <c r="D49" s="47" t="s">
        <v>103</v>
      </c>
    </row>
    <row r="50" spans="2:5" ht="15.75" x14ac:dyDescent="0.25">
      <c r="B50" s="54" t="s">
        <v>105</v>
      </c>
      <c r="C50" s="55"/>
      <c r="D50" s="56" t="s">
        <v>106</v>
      </c>
    </row>
    <row r="51" spans="2:5" ht="15.75" x14ac:dyDescent="0.25">
      <c r="B51" s="41"/>
      <c r="C51" s="41"/>
      <c r="D51" s="41"/>
    </row>
    <row r="52" spans="2:5" ht="15.75" x14ac:dyDescent="0.25">
      <c r="B52" s="59" t="s">
        <v>109</v>
      </c>
      <c r="C52" s="57"/>
      <c r="D52" s="58" t="s">
        <v>110</v>
      </c>
    </row>
    <row r="53" spans="2:5" ht="15.75" x14ac:dyDescent="0.25">
      <c r="B53" s="41"/>
      <c r="C53" s="41"/>
      <c r="D53" s="41"/>
    </row>
    <row r="54" spans="2:5" ht="15.75" x14ac:dyDescent="0.25">
      <c r="B54" s="59" t="s">
        <v>111</v>
      </c>
      <c r="C54" s="57"/>
      <c r="D54" s="58" t="s">
        <v>112</v>
      </c>
    </row>
    <row r="56" spans="2:5" ht="15.75" x14ac:dyDescent="0.25">
      <c r="B56" s="59" t="s">
        <v>107</v>
      </c>
      <c r="C56" s="57"/>
      <c r="D56" s="58" t="s">
        <v>108</v>
      </c>
      <c r="E56" s="61" t="s">
        <v>114</v>
      </c>
    </row>
  </sheetData>
  <printOptions horizontalCentered="1"/>
  <pageMargins left="0.7" right="0.7" top="0.25" bottom="0.2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6"/>
  <sheetViews>
    <sheetView topLeftCell="B1" zoomScale="110" zoomScaleNormal="110" workbookViewId="0">
      <pane xSplit="4" ySplit="12" topLeftCell="F13" activePane="bottomRight" state="frozen"/>
      <selection activeCell="B1" sqref="B1"/>
      <selection pane="topRight" activeCell="F1" sqref="F1"/>
      <selection pane="bottomLeft" activeCell="B13" sqref="B13"/>
      <selection pane="bottomRight" activeCell="H70" sqref="H70"/>
    </sheetView>
  </sheetViews>
  <sheetFormatPr defaultRowHeight="12.75" x14ac:dyDescent="0.2"/>
  <cols>
    <col min="1" max="1" width="18.140625" style="5" hidden="1" customWidth="1"/>
    <col min="2" max="2" width="3.28515625" style="6" customWidth="1"/>
    <col min="3" max="3" width="5.140625" style="5" customWidth="1"/>
    <col min="4" max="4" width="5.85546875" style="5" customWidth="1"/>
    <col min="5" max="5" width="47.42578125" style="5" customWidth="1"/>
    <col min="6" max="6" width="16.28515625" style="5" customWidth="1"/>
    <col min="7" max="7" width="14.85546875" style="5" customWidth="1"/>
    <col min="8" max="8" width="16.5703125" style="5" customWidth="1"/>
    <col min="9" max="9" width="9.85546875" style="5" bestFit="1" customWidth="1"/>
    <col min="10" max="16384" width="9.140625" style="5"/>
  </cols>
  <sheetData>
    <row r="1" spans="3:10" x14ac:dyDescent="0.2">
      <c r="C1" s="195" t="s">
        <v>0</v>
      </c>
      <c r="D1" s="195"/>
      <c r="E1" s="195"/>
      <c r="F1" s="195"/>
      <c r="G1" s="195"/>
      <c r="H1" s="195"/>
    </row>
    <row r="2" spans="3:10" x14ac:dyDescent="0.2">
      <c r="C2" s="195" t="s">
        <v>1</v>
      </c>
      <c r="D2" s="195"/>
      <c r="E2" s="195"/>
      <c r="F2" s="195"/>
      <c r="G2" s="195"/>
      <c r="H2" s="195"/>
    </row>
    <row r="3" spans="3:10" x14ac:dyDescent="0.2">
      <c r="C3" s="195"/>
      <c r="D3" s="195"/>
      <c r="E3" s="195"/>
      <c r="F3" s="195"/>
      <c r="G3" s="195"/>
      <c r="H3" s="195"/>
    </row>
    <row r="4" spans="3:10" x14ac:dyDescent="0.2">
      <c r="C4" s="194" t="s">
        <v>2</v>
      </c>
      <c r="D4" s="194"/>
      <c r="E4" s="194"/>
      <c r="F4" s="194"/>
      <c r="G4" s="194"/>
      <c r="H4" s="194"/>
    </row>
    <row r="5" spans="3:10" x14ac:dyDescent="0.2">
      <c r="C5" s="195" t="s">
        <v>207</v>
      </c>
      <c r="D5" s="195"/>
      <c r="E5" s="195"/>
      <c r="F5" s="195"/>
      <c r="G5" s="195"/>
      <c r="H5" s="195"/>
    </row>
    <row r="6" spans="3:10" x14ac:dyDescent="0.2">
      <c r="C6" s="195"/>
      <c r="D6" s="195"/>
      <c r="E6" s="195"/>
      <c r="F6" s="195"/>
      <c r="G6" s="195"/>
      <c r="H6" s="195"/>
    </row>
    <row r="7" spans="3:10" x14ac:dyDescent="0.2">
      <c r="C7" s="194" t="s">
        <v>209</v>
      </c>
      <c r="D7" s="194"/>
      <c r="E7" s="194"/>
      <c r="F7" s="194"/>
      <c r="G7" s="194"/>
      <c r="H7" s="194"/>
    </row>
    <row r="8" spans="3:10" x14ac:dyDescent="0.2">
      <c r="C8" s="195" t="s">
        <v>258</v>
      </c>
      <c r="D8" s="195"/>
      <c r="E8" s="195"/>
      <c r="F8" s="195"/>
      <c r="G8" s="195"/>
      <c r="H8" s="195"/>
    </row>
    <row r="10" spans="3:10" ht="38.25" x14ac:dyDescent="0.2">
      <c r="C10" s="196" t="s">
        <v>3</v>
      </c>
      <c r="D10" s="196"/>
      <c r="E10" s="180" t="s">
        <v>4</v>
      </c>
      <c r="F10" s="180" t="s">
        <v>260</v>
      </c>
      <c r="G10" s="180" t="s">
        <v>255</v>
      </c>
      <c r="H10" s="180" t="s">
        <v>259</v>
      </c>
      <c r="I10" s="148"/>
      <c r="J10" s="148"/>
    </row>
    <row r="11" spans="3:10" x14ac:dyDescent="0.2">
      <c r="C11" s="149" t="s">
        <v>6</v>
      </c>
      <c r="D11" s="150"/>
      <c r="E11" s="151"/>
      <c r="F11" s="152"/>
      <c r="G11" s="151"/>
      <c r="H11" s="151"/>
    </row>
    <row r="12" spans="3:10" x14ac:dyDescent="0.2">
      <c r="C12" s="153"/>
      <c r="D12" s="154" t="s">
        <v>7</v>
      </c>
      <c r="E12" s="23"/>
      <c r="F12" s="154">
        <v>0</v>
      </c>
      <c r="G12" s="23"/>
      <c r="H12" s="154">
        <v>0</v>
      </c>
    </row>
    <row r="13" spans="3:10" x14ac:dyDescent="0.2">
      <c r="C13" s="29"/>
      <c r="D13" s="154" t="s">
        <v>21</v>
      </c>
      <c r="E13" s="23"/>
      <c r="F13" s="154">
        <f>SUM(F14:F28)</f>
        <v>1382290</v>
      </c>
      <c r="G13" s="154">
        <f>SUM(G14:G28)</f>
        <v>1139390</v>
      </c>
      <c r="H13" s="154">
        <f>SUM(H14:H28)</f>
        <v>242900</v>
      </c>
      <c r="I13" s="167"/>
    </row>
    <row r="14" spans="3:10" x14ac:dyDescent="0.2">
      <c r="C14" s="29"/>
      <c r="D14" s="155"/>
      <c r="E14" s="171" t="s">
        <v>8</v>
      </c>
      <c r="F14" s="156">
        <f>SUM(G14:H14)</f>
        <v>27000</v>
      </c>
      <c r="G14" s="157">
        <f>'ROI - AUG'!F14</f>
        <v>27000</v>
      </c>
      <c r="H14" s="156"/>
    </row>
    <row r="15" spans="3:10" hidden="1" x14ac:dyDescent="0.2">
      <c r="C15" s="29"/>
      <c r="D15" s="33"/>
      <c r="E15" s="171" t="s">
        <v>22</v>
      </c>
      <c r="F15" s="156">
        <f t="shared" ref="F15:F50" si="0">SUM(G15:H15)</f>
        <v>0</v>
      </c>
      <c r="G15" s="157">
        <f>'ROI - JAN.'!F15</f>
        <v>0</v>
      </c>
      <c r="H15" s="156"/>
    </row>
    <row r="16" spans="3:10" x14ac:dyDescent="0.2">
      <c r="C16" s="29"/>
      <c r="D16" s="33"/>
      <c r="E16" s="171" t="s">
        <v>23</v>
      </c>
      <c r="F16" s="156">
        <f>SUM(G16:H16)</f>
        <v>708570</v>
      </c>
      <c r="G16" s="157">
        <f>'ROI - AUG'!F16</f>
        <v>574570</v>
      </c>
      <c r="H16" s="156">
        <v>134000</v>
      </c>
    </row>
    <row r="17" spans="3:9" hidden="1" x14ac:dyDescent="0.2">
      <c r="C17" s="29"/>
      <c r="D17" s="33"/>
      <c r="E17" s="171" t="s">
        <v>24</v>
      </c>
      <c r="F17" s="156">
        <f t="shared" si="0"/>
        <v>0</v>
      </c>
      <c r="G17" s="157">
        <f>'ROI - AUG'!F17</f>
        <v>0</v>
      </c>
      <c r="H17" s="156"/>
    </row>
    <row r="18" spans="3:9" x14ac:dyDescent="0.2">
      <c r="C18" s="29"/>
      <c r="D18" s="33"/>
      <c r="E18" s="171" t="s">
        <v>25</v>
      </c>
      <c r="F18" s="156">
        <f t="shared" si="0"/>
        <v>22000</v>
      </c>
      <c r="G18" s="157">
        <f>'ROI - AUG'!F18</f>
        <v>12000</v>
      </c>
      <c r="H18" s="156">
        <v>10000</v>
      </c>
    </row>
    <row r="19" spans="3:9" hidden="1" x14ac:dyDescent="0.2">
      <c r="C19" s="29"/>
      <c r="D19" s="33"/>
      <c r="E19" s="171" t="s">
        <v>26</v>
      </c>
      <c r="F19" s="156">
        <f t="shared" si="0"/>
        <v>0</v>
      </c>
      <c r="G19" s="157">
        <f>'ROI - AUG'!F19</f>
        <v>0</v>
      </c>
      <c r="H19" s="156"/>
    </row>
    <row r="20" spans="3:9" x14ac:dyDescent="0.2">
      <c r="C20" s="29"/>
      <c r="D20" s="33"/>
      <c r="E20" s="171" t="s">
        <v>27</v>
      </c>
      <c r="F20" s="156">
        <f t="shared" si="0"/>
        <v>120000</v>
      </c>
      <c r="G20" s="157">
        <f>'ROI - AUG'!F20</f>
        <v>80000</v>
      </c>
      <c r="H20" s="156">
        <v>40000</v>
      </c>
    </row>
    <row r="21" spans="3:9" x14ac:dyDescent="0.2">
      <c r="C21" s="29"/>
      <c r="D21" s="33"/>
      <c r="E21" s="171" t="s">
        <v>225</v>
      </c>
      <c r="F21" s="156">
        <f>SUM(G21:H21)</f>
        <v>187000</v>
      </c>
      <c r="G21" s="157">
        <f>'ROI - AUG'!F21</f>
        <v>160000</v>
      </c>
      <c r="H21" s="156">
        <v>27000</v>
      </c>
    </row>
    <row r="22" spans="3:9" hidden="1" x14ac:dyDescent="0.2">
      <c r="C22" s="29"/>
      <c r="D22" s="33"/>
      <c r="E22" s="171" t="s">
        <v>30</v>
      </c>
      <c r="F22" s="156">
        <f t="shared" si="0"/>
        <v>0</v>
      </c>
      <c r="G22" s="157">
        <f>'ROI - AUG'!F22</f>
        <v>0</v>
      </c>
      <c r="H22" s="156"/>
    </row>
    <row r="23" spans="3:9" x14ac:dyDescent="0.2">
      <c r="C23" s="29"/>
      <c r="D23" s="33"/>
      <c r="E23" s="171" t="s">
        <v>31</v>
      </c>
      <c r="F23" s="156">
        <f>SUM(G23:H23)</f>
        <v>219000</v>
      </c>
      <c r="G23" s="157">
        <f>'ROI - AUG'!F23</f>
        <v>202600</v>
      </c>
      <c r="H23" s="156">
        <v>16400</v>
      </c>
    </row>
    <row r="24" spans="3:9" hidden="1" x14ac:dyDescent="0.2">
      <c r="C24" s="29"/>
      <c r="D24" s="33"/>
      <c r="E24" s="171" t="s">
        <v>32</v>
      </c>
      <c r="F24" s="156">
        <f t="shared" si="0"/>
        <v>0</v>
      </c>
      <c r="G24" s="157">
        <f>'ROI - AUG'!F24</f>
        <v>0</v>
      </c>
      <c r="H24" s="156"/>
    </row>
    <row r="25" spans="3:9" hidden="1" x14ac:dyDescent="0.2">
      <c r="C25" s="29"/>
      <c r="D25" s="33"/>
      <c r="E25" s="171" t="s">
        <v>33</v>
      </c>
      <c r="F25" s="156">
        <f t="shared" si="0"/>
        <v>0</v>
      </c>
      <c r="G25" s="157">
        <f>'ROI - AUG'!F25</f>
        <v>0</v>
      </c>
      <c r="H25" s="156"/>
    </row>
    <row r="26" spans="3:9" x14ac:dyDescent="0.2">
      <c r="C26" s="29"/>
      <c r="D26" s="33"/>
      <c r="E26" s="171" t="s">
        <v>194</v>
      </c>
      <c r="F26" s="156">
        <f>SUM(G26:H26)</f>
        <v>41520</v>
      </c>
      <c r="G26" s="157">
        <f>'ROI - AUG'!F26</f>
        <v>36320</v>
      </c>
      <c r="H26" s="156">
        <v>5200</v>
      </c>
    </row>
    <row r="27" spans="3:9" x14ac:dyDescent="0.2">
      <c r="C27" s="29"/>
      <c r="D27" s="158"/>
      <c r="E27" s="171" t="s">
        <v>34</v>
      </c>
      <c r="F27" s="156">
        <f t="shared" si="0"/>
        <v>0</v>
      </c>
      <c r="G27" s="157">
        <f>'ROI - AUG'!F27</f>
        <v>0</v>
      </c>
      <c r="H27" s="156"/>
    </row>
    <row r="28" spans="3:9" x14ac:dyDescent="0.2">
      <c r="C28" s="29"/>
      <c r="D28" s="158"/>
      <c r="E28" s="171" t="s">
        <v>214</v>
      </c>
      <c r="F28" s="156">
        <f>SUM(G28:H28)</f>
        <v>57200</v>
      </c>
      <c r="G28" s="157">
        <f>'ROI - AUG'!F28</f>
        <v>46900</v>
      </c>
      <c r="H28" s="156">
        <v>10300</v>
      </c>
    </row>
    <row r="29" spans="3:9" x14ac:dyDescent="0.2">
      <c r="C29" s="29"/>
      <c r="D29" s="159" t="s">
        <v>35</v>
      </c>
      <c r="E29" s="171"/>
      <c r="F29" s="154">
        <f>SUM(F30:F44)</f>
        <v>2544610</v>
      </c>
      <c r="G29" s="154">
        <f>SUM(G30:G44)</f>
        <v>2128670</v>
      </c>
      <c r="H29" s="154">
        <f>SUM(H30:H44)</f>
        <v>415940</v>
      </c>
      <c r="I29" s="167"/>
    </row>
    <row r="30" spans="3:9" hidden="1" x14ac:dyDescent="0.2">
      <c r="C30" s="29"/>
      <c r="D30" s="155"/>
      <c r="E30" s="171" t="s">
        <v>36</v>
      </c>
      <c r="F30" s="156">
        <f t="shared" si="0"/>
        <v>0</v>
      </c>
      <c r="G30" s="157">
        <f>'ROI - JAN.'!F30</f>
        <v>0</v>
      </c>
      <c r="H30" s="156"/>
    </row>
    <row r="31" spans="3:9" hidden="1" x14ac:dyDescent="0.2">
      <c r="C31" s="29"/>
      <c r="D31" s="33"/>
      <c r="E31" s="171" t="s">
        <v>37</v>
      </c>
      <c r="F31" s="156">
        <f t="shared" si="0"/>
        <v>0</v>
      </c>
      <c r="G31" s="157">
        <f>'ROI - JAN.'!F31</f>
        <v>0</v>
      </c>
      <c r="H31" s="156"/>
    </row>
    <row r="32" spans="3:9" hidden="1" x14ac:dyDescent="0.2">
      <c r="C32" s="29"/>
      <c r="D32" s="33"/>
      <c r="E32" s="171" t="s">
        <v>38</v>
      </c>
      <c r="F32" s="156">
        <f t="shared" si="0"/>
        <v>0</v>
      </c>
      <c r="G32" s="157">
        <f>'ROI - JAN.'!F32</f>
        <v>0</v>
      </c>
      <c r="H32" s="156"/>
    </row>
    <row r="33" spans="2:8" hidden="1" x14ac:dyDescent="0.2">
      <c r="C33" s="29"/>
      <c r="D33" s="33"/>
      <c r="E33" s="171" t="s">
        <v>39</v>
      </c>
      <c r="F33" s="156">
        <f t="shared" si="0"/>
        <v>0</v>
      </c>
      <c r="G33" s="157">
        <f>'ROI - MAR'!F33</f>
        <v>0</v>
      </c>
      <c r="H33" s="156"/>
    </row>
    <row r="34" spans="2:8" x14ac:dyDescent="0.2">
      <c r="C34" s="29"/>
      <c r="D34" s="33"/>
      <c r="E34" s="171" t="s">
        <v>40</v>
      </c>
      <c r="F34" s="156">
        <f>SUM(G34:H34)</f>
        <v>127240</v>
      </c>
      <c r="G34" s="157">
        <f>'ROI - AUG'!F34</f>
        <v>109000</v>
      </c>
      <c r="H34" s="156">
        <v>18240</v>
      </c>
    </row>
    <row r="35" spans="2:8" x14ac:dyDescent="0.2">
      <c r="C35" s="29"/>
      <c r="D35" s="33"/>
      <c r="E35" s="171" t="s">
        <v>41</v>
      </c>
      <c r="F35" s="156">
        <f>SUM(G35:H35)</f>
        <v>210000</v>
      </c>
      <c r="G35" s="157">
        <f>'ROI - AUG'!F35</f>
        <v>184000</v>
      </c>
      <c r="H35" s="156">
        <v>26000</v>
      </c>
    </row>
    <row r="36" spans="2:8" s="161" customFormat="1" x14ac:dyDescent="0.2">
      <c r="B36" s="160"/>
      <c r="C36" s="29"/>
      <c r="D36" s="33"/>
      <c r="E36" s="171" t="s">
        <v>42</v>
      </c>
      <c r="F36" s="156">
        <f t="shared" si="0"/>
        <v>6000</v>
      </c>
      <c r="G36" s="157">
        <f>'ROI - AUG'!F36</f>
        <v>6000</v>
      </c>
      <c r="H36" s="156"/>
    </row>
    <row r="37" spans="2:8" x14ac:dyDescent="0.2">
      <c r="C37" s="29"/>
      <c r="D37" s="33"/>
      <c r="E37" s="171" t="s">
        <v>43</v>
      </c>
      <c r="F37" s="156">
        <f t="shared" si="0"/>
        <v>0</v>
      </c>
      <c r="G37" s="157">
        <f>'ROI - AUG'!F37</f>
        <v>0</v>
      </c>
      <c r="H37" s="156"/>
    </row>
    <row r="38" spans="2:8" x14ac:dyDescent="0.2">
      <c r="C38" s="29"/>
      <c r="D38" s="33"/>
      <c r="E38" s="171" t="s">
        <v>44</v>
      </c>
      <c r="F38" s="156">
        <f t="shared" si="0"/>
        <v>18000</v>
      </c>
      <c r="G38" s="157">
        <f>'ROI - AUG'!F38</f>
        <v>18000</v>
      </c>
      <c r="H38" s="156"/>
    </row>
    <row r="39" spans="2:8" ht="12" customHeight="1" x14ac:dyDescent="0.2">
      <c r="C39" s="29"/>
      <c r="D39" s="33"/>
      <c r="E39" s="171" t="s">
        <v>45</v>
      </c>
      <c r="F39" s="156">
        <f t="shared" si="0"/>
        <v>327030</v>
      </c>
      <c r="G39" s="157">
        <f>'ROI - AUG'!F39</f>
        <v>291030</v>
      </c>
      <c r="H39" s="156">
        <v>36000</v>
      </c>
    </row>
    <row r="40" spans="2:8" x14ac:dyDescent="0.2">
      <c r="C40" s="29"/>
      <c r="D40" s="158"/>
      <c r="E40" s="171" t="s">
        <v>199</v>
      </c>
      <c r="F40" s="156">
        <f t="shared" si="0"/>
        <v>192900</v>
      </c>
      <c r="G40" s="157">
        <f>'ROI - AUG'!F40</f>
        <v>169200</v>
      </c>
      <c r="H40" s="156">
        <v>23700</v>
      </c>
    </row>
    <row r="41" spans="2:8" x14ac:dyDescent="0.2">
      <c r="C41" s="29"/>
      <c r="D41" s="158"/>
      <c r="E41" s="171" t="s">
        <v>213</v>
      </c>
      <c r="F41" s="156">
        <f t="shared" si="0"/>
        <v>1561440</v>
      </c>
      <c r="G41" s="157">
        <f>'ROI - AUG'!F41</f>
        <v>1255440</v>
      </c>
      <c r="H41" s="156">
        <v>306000</v>
      </c>
    </row>
    <row r="42" spans="2:8" x14ac:dyDescent="0.2">
      <c r="C42" s="29"/>
      <c r="D42" s="158"/>
      <c r="E42" s="171" t="s">
        <v>220</v>
      </c>
      <c r="F42" s="156">
        <f t="shared" si="0"/>
        <v>24000</v>
      </c>
      <c r="G42" s="157">
        <f>'ROI - AUG'!F42</f>
        <v>24000</v>
      </c>
      <c r="H42" s="156"/>
    </row>
    <row r="43" spans="2:8" x14ac:dyDescent="0.2">
      <c r="C43" s="29"/>
      <c r="D43" s="158"/>
      <c r="E43" s="171" t="s">
        <v>224</v>
      </c>
      <c r="F43" s="156">
        <f t="shared" si="0"/>
        <v>66000</v>
      </c>
      <c r="G43" s="157">
        <f>'ROI - AUG'!F43</f>
        <v>66000</v>
      </c>
      <c r="H43" s="156"/>
    </row>
    <row r="44" spans="2:8" x14ac:dyDescent="0.2">
      <c r="C44" s="29"/>
      <c r="D44" s="158"/>
      <c r="E44" s="171" t="s">
        <v>246</v>
      </c>
      <c r="F44" s="156">
        <f t="shared" si="0"/>
        <v>12000</v>
      </c>
      <c r="G44" s="157">
        <f>'ROI - AUG'!F44</f>
        <v>6000</v>
      </c>
      <c r="H44" s="156">
        <v>6000</v>
      </c>
    </row>
    <row r="45" spans="2:8" x14ac:dyDescent="0.2">
      <c r="C45" s="29"/>
      <c r="D45" s="159" t="s">
        <v>10</v>
      </c>
      <c r="E45" s="23"/>
      <c r="F45" s="154">
        <f>SUM(F46:F50)</f>
        <v>11753</v>
      </c>
      <c r="G45" s="154">
        <f>SUM(G46:G50)</f>
        <v>11253</v>
      </c>
      <c r="H45" s="154">
        <f>SUM(H46:H50)</f>
        <v>500</v>
      </c>
    </row>
    <row r="46" spans="2:8" hidden="1" x14ac:dyDescent="0.2">
      <c r="C46" s="29"/>
      <c r="D46" s="155"/>
      <c r="E46" s="23" t="s">
        <v>116</v>
      </c>
      <c r="F46" s="156">
        <f t="shared" si="0"/>
        <v>0</v>
      </c>
      <c r="G46" s="157">
        <f>'ROI - JAN.'!F43</f>
        <v>0</v>
      </c>
      <c r="H46" s="154"/>
    </row>
    <row r="47" spans="2:8" s="161" customFormat="1" x14ac:dyDescent="0.2">
      <c r="B47" s="160"/>
      <c r="C47" s="29"/>
      <c r="D47" s="155"/>
      <c r="E47" s="23" t="s">
        <v>46</v>
      </c>
      <c r="F47" s="156">
        <f>SUM(G47:H47)</f>
        <v>753</v>
      </c>
      <c r="G47" s="157">
        <f>'ROI - AUG'!F47</f>
        <v>753</v>
      </c>
      <c r="H47" s="156"/>
    </row>
    <row r="48" spans="2:8" x14ac:dyDescent="0.2">
      <c r="C48" s="29"/>
      <c r="D48" s="33"/>
      <c r="E48" s="23" t="s">
        <v>231</v>
      </c>
      <c r="F48" s="156">
        <f>SUM(G48:H48)</f>
        <v>11000</v>
      </c>
      <c r="G48" s="157">
        <f>'ROI - AUG'!F48</f>
        <v>10500</v>
      </c>
      <c r="H48" s="156">
        <v>500</v>
      </c>
    </row>
    <row r="49" spans="3:8" hidden="1" x14ac:dyDescent="0.2">
      <c r="C49" s="29"/>
      <c r="D49" s="33"/>
      <c r="E49" s="23" t="s">
        <v>48</v>
      </c>
      <c r="F49" s="156">
        <f t="shared" si="0"/>
        <v>0</v>
      </c>
      <c r="G49" s="157">
        <f>'ROI - JAN.'!F46</f>
        <v>0</v>
      </c>
      <c r="H49" s="156"/>
    </row>
    <row r="50" spans="3:8" hidden="1" x14ac:dyDescent="0.2">
      <c r="C50" s="29"/>
      <c r="D50" s="158"/>
      <c r="E50" s="23" t="s">
        <v>49</v>
      </c>
      <c r="F50" s="156">
        <f t="shared" si="0"/>
        <v>0</v>
      </c>
      <c r="G50" s="157">
        <f>'ROI - JAN.'!F47</f>
        <v>0</v>
      </c>
      <c r="H50" s="156"/>
    </row>
    <row r="51" spans="3:8" x14ac:dyDescent="0.2">
      <c r="C51" s="29"/>
      <c r="D51" s="159" t="s">
        <v>50</v>
      </c>
      <c r="E51" s="23"/>
      <c r="F51" s="154">
        <f>SUM(F52:F54)</f>
        <v>177435</v>
      </c>
      <c r="G51" s="154">
        <f>SUM(G52:G54)</f>
        <v>134620</v>
      </c>
      <c r="H51" s="154">
        <f>SUM(H52:H54)</f>
        <v>42815</v>
      </c>
    </row>
    <row r="52" spans="3:8" hidden="1" x14ac:dyDescent="0.2">
      <c r="C52" s="29"/>
      <c r="D52" s="155"/>
      <c r="E52" s="23" t="s">
        <v>51</v>
      </c>
      <c r="F52" s="156">
        <f>H52+G52</f>
        <v>0</v>
      </c>
      <c r="G52" s="157">
        <f>'ROI - JAN.'!F49</f>
        <v>0</v>
      </c>
      <c r="H52" s="156"/>
    </row>
    <row r="53" spans="3:8" x14ac:dyDescent="0.2">
      <c r="C53" s="29"/>
      <c r="D53" s="33"/>
      <c r="E53" s="23" t="s">
        <v>205</v>
      </c>
      <c r="F53" s="156">
        <f>SUM(G53:H53)</f>
        <v>24300</v>
      </c>
      <c r="G53" s="157">
        <f>'ROI - AUG'!F53</f>
        <v>21300</v>
      </c>
      <c r="H53" s="156">
        <v>3000</v>
      </c>
    </row>
    <row r="54" spans="3:8" x14ac:dyDescent="0.2">
      <c r="C54" s="29"/>
      <c r="D54" s="158"/>
      <c r="E54" s="23" t="s">
        <v>52</v>
      </c>
      <c r="F54" s="156">
        <f>SUM(G54:H54)</f>
        <v>153135</v>
      </c>
      <c r="G54" s="157">
        <f>'ROI - AUG'!F54</f>
        <v>113320</v>
      </c>
      <c r="H54" s="156">
        <v>39815</v>
      </c>
    </row>
    <row r="55" spans="3:8" x14ac:dyDescent="0.2">
      <c r="C55" s="29"/>
      <c r="D55" s="159" t="s">
        <v>53</v>
      </c>
      <c r="E55" s="23"/>
      <c r="F55" s="154">
        <v>0</v>
      </c>
      <c r="G55" s="23"/>
      <c r="H55" s="154">
        <v>0</v>
      </c>
    </row>
    <row r="56" spans="3:8" x14ac:dyDescent="0.2">
      <c r="C56" s="162"/>
      <c r="D56" s="159" t="s">
        <v>57</v>
      </c>
      <c r="E56" s="23"/>
      <c r="F56" s="154">
        <v>0</v>
      </c>
      <c r="G56" s="23"/>
      <c r="H56" s="154">
        <v>0</v>
      </c>
    </row>
    <row r="57" spans="3:8" x14ac:dyDescent="0.2">
      <c r="C57" s="154" t="s">
        <v>11</v>
      </c>
      <c r="D57" s="159"/>
      <c r="E57" s="23"/>
      <c r="F57" s="156">
        <f>F12+F13+F29+F45+F51+F55+F56</f>
        <v>4116088</v>
      </c>
      <c r="G57" s="156">
        <f>G12+G13+G29+G45+G51+G55+G56</f>
        <v>3413933</v>
      </c>
      <c r="H57" s="156">
        <f>H12+H13+H29+H45+H51+H55+H56</f>
        <v>702155</v>
      </c>
    </row>
    <row r="58" spans="3:8" x14ac:dyDescent="0.2">
      <c r="C58" s="154" t="s">
        <v>12</v>
      </c>
      <c r="D58" s="159"/>
      <c r="E58" s="23"/>
      <c r="F58" s="156"/>
      <c r="G58" s="23"/>
      <c r="H58" s="156"/>
    </row>
    <row r="59" spans="3:8" hidden="1" x14ac:dyDescent="0.2">
      <c r="C59" s="153"/>
      <c r="D59" s="159" t="s">
        <v>7</v>
      </c>
      <c r="E59" s="23"/>
      <c r="F59" s="156">
        <v>0</v>
      </c>
      <c r="G59" s="23"/>
      <c r="H59" s="156">
        <v>0</v>
      </c>
    </row>
    <row r="60" spans="3:8" hidden="1" x14ac:dyDescent="0.2">
      <c r="C60" s="29"/>
      <c r="D60" s="159" t="s">
        <v>21</v>
      </c>
      <c r="E60" s="23"/>
      <c r="F60" s="156">
        <v>0</v>
      </c>
      <c r="G60" s="23"/>
      <c r="H60" s="156">
        <v>0</v>
      </c>
    </row>
    <row r="61" spans="3:8" hidden="1" x14ac:dyDescent="0.2">
      <c r="C61" s="29"/>
      <c r="D61" s="159" t="s">
        <v>35</v>
      </c>
      <c r="E61" s="23"/>
      <c r="F61" s="156">
        <v>0</v>
      </c>
      <c r="G61" s="23"/>
      <c r="H61" s="156">
        <v>0</v>
      </c>
    </row>
    <row r="62" spans="3:8" hidden="1" x14ac:dyDescent="0.2">
      <c r="C62" s="29"/>
      <c r="D62" s="159" t="s">
        <v>10</v>
      </c>
      <c r="E62" s="23"/>
      <c r="F62" s="156">
        <v>0</v>
      </c>
      <c r="G62" s="23"/>
      <c r="H62" s="156">
        <v>0</v>
      </c>
    </row>
    <row r="63" spans="3:8" hidden="1" x14ac:dyDescent="0.2">
      <c r="C63" s="29"/>
      <c r="D63" s="159" t="s">
        <v>50</v>
      </c>
      <c r="E63" s="23"/>
      <c r="F63" s="156">
        <v>0</v>
      </c>
      <c r="G63" s="23"/>
      <c r="H63" s="156">
        <v>0</v>
      </c>
    </row>
    <row r="64" spans="3:8" hidden="1" x14ac:dyDescent="0.2">
      <c r="C64" s="29"/>
      <c r="D64" s="159" t="s">
        <v>53</v>
      </c>
      <c r="E64" s="23"/>
      <c r="F64" s="156">
        <v>0</v>
      </c>
      <c r="G64" s="23"/>
      <c r="H64" s="156">
        <v>0</v>
      </c>
    </row>
    <row r="65" spans="2:9" hidden="1" x14ac:dyDescent="0.2">
      <c r="C65" s="162"/>
      <c r="D65" s="159" t="s">
        <v>57</v>
      </c>
      <c r="E65" s="23"/>
      <c r="F65" s="156">
        <v>0</v>
      </c>
      <c r="G65" s="23"/>
      <c r="H65" s="156">
        <v>0</v>
      </c>
    </row>
    <row r="66" spans="2:9" x14ac:dyDescent="0.2">
      <c r="C66" s="154" t="s">
        <v>13</v>
      </c>
      <c r="D66" s="159"/>
      <c r="E66" s="159"/>
      <c r="F66" s="154">
        <f>SUM(F59:F65)</f>
        <v>0</v>
      </c>
      <c r="G66" s="23"/>
      <c r="H66" s="154">
        <f>SUM(H59:H65)</f>
        <v>0</v>
      </c>
    </row>
    <row r="67" spans="2:9" x14ac:dyDescent="0.2">
      <c r="C67" s="163" t="s">
        <v>14</v>
      </c>
      <c r="D67" s="164"/>
      <c r="E67" s="165"/>
      <c r="F67" s="166">
        <f>F57+F66</f>
        <v>4116088</v>
      </c>
      <c r="G67" s="166">
        <f>G57+G66</f>
        <v>3413933</v>
      </c>
      <c r="H67" s="166">
        <f>H57+H66</f>
        <v>702155</v>
      </c>
    </row>
    <row r="68" spans="2:9" x14ac:dyDescent="0.2">
      <c r="C68" s="160"/>
      <c r="D68" s="161"/>
      <c r="F68" s="6"/>
    </row>
    <row r="69" spans="2:9" x14ac:dyDescent="0.2">
      <c r="E69" s="161" t="s">
        <v>15</v>
      </c>
      <c r="G69" s="167"/>
      <c r="I69" s="167"/>
    </row>
    <row r="70" spans="2:9" s="161" customFormat="1" x14ac:dyDescent="0.2">
      <c r="B70" s="160"/>
      <c r="C70" s="5"/>
      <c r="D70" s="5"/>
      <c r="E70" s="5"/>
      <c r="F70" s="5"/>
      <c r="G70" s="167"/>
      <c r="H70" s="167"/>
    </row>
    <row r="71" spans="2:9" x14ac:dyDescent="0.2">
      <c r="E71" s="161" t="s">
        <v>7</v>
      </c>
      <c r="G71" s="161"/>
      <c r="H71" s="177"/>
    </row>
    <row r="72" spans="2:9" x14ac:dyDescent="0.2">
      <c r="E72" s="5" t="s">
        <v>54</v>
      </c>
      <c r="F72" s="167">
        <f>F12</f>
        <v>0</v>
      </c>
      <c r="G72" s="167"/>
      <c r="H72" s="167"/>
    </row>
    <row r="73" spans="2:9" x14ac:dyDescent="0.2">
      <c r="E73" s="5" t="s">
        <v>55</v>
      </c>
      <c r="F73" s="167">
        <f>F59</f>
        <v>0</v>
      </c>
    </row>
    <row r="74" spans="2:9" x14ac:dyDescent="0.2">
      <c r="E74" s="168" t="s">
        <v>56</v>
      </c>
      <c r="F74" s="169">
        <f>F72+F73</f>
        <v>0</v>
      </c>
    </row>
    <row r="75" spans="2:9" x14ac:dyDescent="0.2">
      <c r="E75" s="161" t="s">
        <v>21</v>
      </c>
      <c r="H75" s="167"/>
    </row>
    <row r="76" spans="2:9" x14ac:dyDescent="0.2">
      <c r="E76" s="5" t="s">
        <v>54</v>
      </c>
      <c r="F76" s="167">
        <f>F13</f>
        <v>1382290</v>
      </c>
    </row>
    <row r="77" spans="2:9" x14ac:dyDescent="0.2">
      <c r="E77" s="5" t="s">
        <v>55</v>
      </c>
      <c r="F77" s="167">
        <f>F60</f>
        <v>0</v>
      </c>
    </row>
    <row r="78" spans="2:9" x14ac:dyDescent="0.2">
      <c r="E78" s="168" t="s">
        <v>56</v>
      </c>
      <c r="F78" s="169">
        <f>F76+F77</f>
        <v>1382290</v>
      </c>
    </row>
    <row r="79" spans="2:9" x14ac:dyDescent="0.2">
      <c r="E79" s="161" t="s">
        <v>58</v>
      </c>
    </row>
    <row r="80" spans="2:9" x14ac:dyDescent="0.2">
      <c r="E80" s="5" t="s">
        <v>54</v>
      </c>
      <c r="F80" s="167">
        <f>F29</f>
        <v>2544610</v>
      </c>
    </row>
    <row r="81" spans="5:6" x14ac:dyDescent="0.2">
      <c r="E81" s="5" t="s">
        <v>55</v>
      </c>
      <c r="F81" s="167">
        <f>F61</f>
        <v>0</v>
      </c>
    </row>
    <row r="82" spans="5:6" x14ac:dyDescent="0.2">
      <c r="E82" s="168" t="s">
        <v>56</v>
      </c>
      <c r="F82" s="169">
        <f>F80+F81</f>
        <v>2544610</v>
      </c>
    </row>
    <row r="83" spans="5:6" x14ac:dyDescent="0.2">
      <c r="E83" s="161" t="s">
        <v>10</v>
      </c>
    </row>
    <row r="84" spans="5:6" x14ac:dyDescent="0.2">
      <c r="E84" s="5" t="s">
        <v>54</v>
      </c>
      <c r="F84" s="167">
        <f>F45</f>
        <v>11753</v>
      </c>
    </row>
    <row r="85" spans="5:6" x14ac:dyDescent="0.2">
      <c r="E85" s="5" t="s">
        <v>55</v>
      </c>
      <c r="F85" s="167">
        <f>F62</f>
        <v>0</v>
      </c>
    </row>
    <row r="86" spans="5:6" x14ac:dyDescent="0.2">
      <c r="E86" s="168" t="s">
        <v>56</v>
      </c>
      <c r="F86" s="169">
        <f>F84+F85</f>
        <v>11753</v>
      </c>
    </row>
    <row r="87" spans="5:6" x14ac:dyDescent="0.2">
      <c r="E87" s="161" t="s">
        <v>50</v>
      </c>
    </row>
    <row r="88" spans="5:6" x14ac:dyDescent="0.2">
      <c r="E88" s="5" t="s">
        <v>54</v>
      </c>
      <c r="F88" s="167">
        <f>F51</f>
        <v>177435</v>
      </c>
    </row>
    <row r="89" spans="5:6" x14ac:dyDescent="0.2">
      <c r="E89" s="5" t="s">
        <v>55</v>
      </c>
      <c r="F89" s="167">
        <f>F63</f>
        <v>0</v>
      </c>
    </row>
    <row r="90" spans="5:6" x14ac:dyDescent="0.2">
      <c r="E90" s="168" t="s">
        <v>56</v>
      </c>
      <c r="F90" s="169">
        <f>F88+F89</f>
        <v>177435</v>
      </c>
    </row>
    <row r="91" spans="5:6" hidden="1" x14ac:dyDescent="0.2">
      <c r="E91" s="161" t="s">
        <v>53</v>
      </c>
    </row>
    <row r="92" spans="5:6" hidden="1" x14ac:dyDescent="0.2">
      <c r="E92" s="5" t="s">
        <v>54</v>
      </c>
      <c r="F92" s="167">
        <f>F55</f>
        <v>0</v>
      </c>
    </row>
    <row r="93" spans="5:6" hidden="1" x14ac:dyDescent="0.2">
      <c r="E93" s="5" t="s">
        <v>55</v>
      </c>
      <c r="F93" s="167">
        <f>F64</f>
        <v>0</v>
      </c>
    </row>
    <row r="94" spans="5:6" hidden="1" x14ac:dyDescent="0.2">
      <c r="E94" s="168" t="s">
        <v>56</v>
      </c>
      <c r="F94" s="169">
        <f>F92+F93</f>
        <v>0</v>
      </c>
    </row>
    <row r="95" spans="5:6" hidden="1" x14ac:dyDescent="0.2">
      <c r="E95" s="161" t="s">
        <v>57</v>
      </c>
    </row>
    <row r="96" spans="5:6" hidden="1" x14ac:dyDescent="0.2">
      <c r="E96" s="5" t="s">
        <v>54</v>
      </c>
      <c r="F96" s="167">
        <f>F56</f>
        <v>0</v>
      </c>
    </row>
    <row r="97" spans="3:8" hidden="1" x14ac:dyDescent="0.2">
      <c r="E97" s="5" t="s">
        <v>55</v>
      </c>
      <c r="F97" s="167">
        <f>F65</f>
        <v>0</v>
      </c>
    </row>
    <row r="98" spans="3:8" x14ac:dyDescent="0.2">
      <c r="E98" s="168" t="s">
        <v>56</v>
      </c>
      <c r="F98" s="169">
        <f>F96+F97</f>
        <v>0</v>
      </c>
    </row>
    <row r="99" spans="3:8" ht="13.5" thickBot="1" x14ac:dyDescent="0.25">
      <c r="E99" s="161" t="s">
        <v>59</v>
      </c>
      <c r="F99" s="170">
        <f>F74+F78+F82+F86+F90+F94+F98</f>
        <v>4116088</v>
      </c>
    </row>
    <row r="100" spans="3:8" ht="13.5" thickTop="1" x14ac:dyDescent="0.2"/>
    <row r="102" spans="3:8" x14ac:dyDescent="0.2">
      <c r="C102" s="195"/>
      <c r="D102" s="195"/>
      <c r="E102" s="195"/>
      <c r="F102" s="195" t="s">
        <v>17</v>
      </c>
      <c r="G102" s="195"/>
      <c r="H102" s="195"/>
    </row>
    <row r="103" spans="3:8" x14ac:dyDescent="0.2">
      <c r="C103" s="161"/>
      <c r="F103" s="195"/>
      <c r="G103" s="195"/>
      <c r="H103" s="195"/>
    </row>
    <row r="104" spans="3:8" x14ac:dyDescent="0.2">
      <c r="C104" s="194"/>
      <c r="D104" s="194"/>
      <c r="E104" s="194"/>
    </row>
    <row r="105" spans="3:8" x14ac:dyDescent="0.2">
      <c r="C105" s="195"/>
      <c r="D105" s="195"/>
      <c r="E105" s="195"/>
      <c r="F105" s="172"/>
      <c r="G105" s="172" t="s">
        <v>197</v>
      </c>
      <c r="H105" s="172"/>
    </row>
    <row r="106" spans="3:8" x14ac:dyDescent="0.2">
      <c r="F106" s="195" t="s">
        <v>198</v>
      </c>
      <c r="G106" s="195"/>
      <c r="H106" s="195"/>
    </row>
  </sheetData>
  <mergeCells count="15">
    <mergeCell ref="C104:E104"/>
    <mergeCell ref="C105:E105"/>
    <mergeCell ref="F106:H106"/>
    <mergeCell ref="C7:H7"/>
    <mergeCell ref="C8:H8"/>
    <mergeCell ref="C10:D10"/>
    <mergeCell ref="C102:E102"/>
    <mergeCell ref="F102:H102"/>
    <mergeCell ref="F103:H103"/>
    <mergeCell ref="C6:H6"/>
    <mergeCell ref="C1:H1"/>
    <mergeCell ref="C2:H2"/>
    <mergeCell ref="C3:H3"/>
    <mergeCell ref="C4:H4"/>
    <mergeCell ref="C5:H5"/>
  </mergeCells>
  <pageMargins left="0.5" right="0.25" top="0.25" bottom="0.25" header="0.3" footer="0.3"/>
  <pageSetup paperSize="155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6"/>
  <sheetViews>
    <sheetView topLeftCell="B1" zoomScaleNormal="100" workbookViewId="0">
      <pane xSplit="4" ySplit="12" topLeftCell="H51" activePane="bottomRight" state="frozen"/>
      <selection activeCell="B1" sqref="B1"/>
      <selection pane="topRight" activeCell="F1" sqref="F1"/>
      <selection pane="bottomLeft" activeCell="B13" sqref="B13"/>
      <selection pane="bottomRight" activeCell="H53" sqref="H53:H54"/>
    </sheetView>
  </sheetViews>
  <sheetFormatPr defaultRowHeight="12.75" x14ac:dyDescent="0.2"/>
  <cols>
    <col min="1" max="1" width="18.140625" style="5" hidden="1" customWidth="1"/>
    <col min="2" max="2" width="3.28515625" style="6" customWidth="1"/>
    <col min="3" max="3" width="5.140625" style="5" customWidth="1"/>
    <col min="4" max="4" width="5.85546875" style="5" customWidth="1"/>
    <col min="5" max="5" width="47.42578125" style="5" customWidth="1"/>
    <col min="6" max="6" width="16.28515625" style="5" customWidth="1"/>
    <col min="7" max="7" width="14.85546875" style="5" customWidth="1"/>
    <col min="8" max="8" width="16.5703125" style="5" customWidth="1"/>
    <col min="9" max="9" width="9.85546875" style="5" bestFit="1" customWidth="1"/>
    <col min="10" max="16384" width="9.140625" style="5"/>
  </cols>
  <sheetData>
    <row r="1" spans="3:10" x14ac:dyDescent="0.2">
      <c r="C1" s="195" t="s">
        <v>0</v>
      </c>
      <c r="D1" s="195"/>
      <c r="E1" s="195"/>
      <c r="F1" s="195"/>
      <c r="G1" s="195"/>
      <c r="H1" s="195"/>
    </row>
    <row r="2" spans="3:10" x14ac:dyDescent="0.2">
      <c r="C2" s="195" t="s">
        <v>1</v>
      </c>
      <c r="D2" s="195"/>
      <c r="E2" s="195"/>
      <c r="F2" s="195"/>
      <c r="G2" s="195"/>
      <c r="H2" s="195"/>
    </row>
    <row r="3" spans="3:10" x14ac:dyDescent="0.2">
      <c r="C3" s="195"/>
      <c r="D3" s="195"/>
      <c r="E3" s="195"/>
      <c r="F3" s="195"/>
      <c r="G3" s="195"/>
      <c r="H3" s="195"/>
    </row>
    <row r="4" spans="3:10" x14ac:dyDescent="0.2">
      <c r="C4" s="194" t="s">
        <v>2</v>
      </c>
      <c r="D4" s="194"/>
      <c r="E4" s="194"/>
      <c r="F4" s="194"/>
      <c r="G4" s="194"/>
      <c r="H4" s="194"/>
    </row>
    <row r="5" spans="3:10" x14ac:dyDescent="0.2">
      <c r="C5" s="195" t="s">
        <v>207</v>
      </c>
      <c r="D5" s="195"/>
      <c r="E5" s="195"/>
      <c r="F5" s="195"/>
      <c r="G5" s="195"/>
      <c r="H5" s="195"/>
    </row>
    <row r="6" spans="3:10" x14ac:dyDescent="0.2">
      <c r="C6" s="195"/>
      <c r="D6" s="195"/>
      <c r="E6" s="195"/>
      <c r="F6" s="195"/>
      <c r="G6" s="195"/>
      <c r="H6" s="195"/>
    </row>
    <row r="7" spans="3:10" x14ac:dyDescent="0.2">
      <c r="C7" s="194" t="s">
        <v>209</v>
      </c>
      <c r="D7" s="194"/>
      <c r="E7" s="194"/>
      <c r="F7" s="194"/>
      <c r="G7" s="194"/>
      <c r="H7" s="194"/>
    </row>
    <row r="8" spans="3:10" x14ac:dyDescent="0.2">
      <c r="C8" s="195" t="s">
        <v>261</v>
      </c>
      <c r="D8" s="195"/>
      <c r="E8" s="195"/>
      <c r="F8" s="195"/>
      <c r="G8" s="195"/>
      <c r="H8" s="195"/>
    </row>
    <row r="10" spans="3:10" ht="38.25" x14ac:dyDescent="0.2">
      <c r="C10" s="196" t="s">
        <v>3</v>
      </c>
      <c r="D10" s="196"/>
      <c r="E10" s="181" t="s">
        <v>4</v>
      </c>
      <c r="F10" s="181" t="s">
        <v>263</v>
      </c>
      <c r="G10" s="181" t="s">
        <v>258</v>
      </c>
      <c r="H10" s="181" t="s">
        <v>262</v>
      </c>
      <c r="I10" s="148"/>
      <c r="J10" s="148"/>
    </row>
    <row r="11" spans="3:10" x14ac:dyDescent="0.2">
      <c r="C11" s="149" t="s">
        <v>6</v>
      </c>
      <c r="D11" s="150"/>
      <c r="E11" s="151"/>
      <c r="F11" s="152"/>
      <c r="G11" s="151"/>
      <c r="H11" s="151"/>
    </row>
    <row r="12" spans="3:10" x14ac:dyDescent="0.2">
      <c r="C12" s="153"/>
      <c r="D12" s="154" t="s">
        <v>7</v>
      </c>
      <c r="E12" s="23"/>
      <c r="F12" s="154">
        <v>0</v>
      </c>
      <c r="G12" s="23"/>
      <c r="H12" s="154">
        <v>0</v>
      </c>
    </row>
    <row r="13" spans="3:10" x14ac:dyDescent="0.2">
      <c r="C13" s="29"/>
      <c r="D13" s="154" t="s">
        <v>21</v>
      </c>
      <c r="E13" s="23"/>
      <c r="F13" s="154">
        <f>SUM(F14:F28)</f>
        <v>1504590</v>
      </c>
      <c r="G13" s="154">
        <f>SUM(G14:G28)</f>
        <v>1382290</v>
      </c>
      <c r="H13" s="154">
        <f>SUM(H14:H28)</f>
        <v>122300</v>
      </c>
      <c r="I13" s="167"/>
    </row>
    <row r="14" spans="3:10" x14ac:dyDescent="0.2">
      <c r="C14" s="29"/>
      <c r="D14" s="155"/>
      <c r="E14" s="171" t="s">
        <v>8</v>
      </c>
      <c r="F14" s="156">
        <f>SUM(G14:H14)</f>
        <v>27000</v>
      </c>
      <c r="G14" s="157">
        <f>'ROI - SEP'!F14</f>
        <v>27000</v>
      </c>
      <c r="H14" s="156"/>
    </row>
    <row r="15" spans="3:10" hidden="1" x14ac:dyDescent="0.2">
      <c r="C15" s="29"/>
      <c r="D15" s="33"/>
      <c r="E15" s="171" t="s">
        <v>22</v>
      </c>
      <c r="F15" s="156">
        <f t="shared" ref="F15:F50" si="0">SUM(G15:H15)</f>
        <v>0</v>
      </c>
      <c r="G15" s="157">
        <f>'ROI - JAN.'!F15</f>
        <v>0</v>
      </c>
      <c r="H15" s="156"/>
    </row>
    <row r="16" spans="3:10" x14ac:dyDescent="0.2">
      <c r="C16" s="29"/>
      <c r="D16" s="33"/>
      <c r="E16" s="171" t="s">
        <v>23</v>
      </c>
      <c r="F16" s="156">
        <f>SUM(G16:H16)</f>
        <v>783070</v>
      </c>
      <c r="G16" s="157">
        <f>'ROI - SEP'!F16</f>
        <v>708570</v>
      </c>
      <c r="H16" s="156">
        <v>74500</v>
      </c>
    </row>
    <row r="17" spans="3:9" hidden="1" x14ac:dyDescent="0.2">
      <c r="C17" s="29"/>
      <c r="D17" s="33"/>
      <c r="E17" s="171" t="s">
        <v>24</v>
      </c>
      <c r="F17" s="156">
        <f t="shared" si="0"/>
        <v>0</v>
      </c>
      <c r="G17" s="157">
        <f>'ROI - SEP'!F17</f>
        <v>0</v>
      </c>
      <c r="H17" s="156"/>
    </row>
    <row r="18" spans="3:9" x14ac:dyDescent="0.2">
      <c r="C18" s="29"/>
      <c r="D18" s="33"/>
      <c r="E18" s="171" t="s">
        <v>25</v>
      </c>
      <c r="F18" s="156">
        <f t="shared" si="0"/>
        <v>22000</v>
      </c>
      <c r="G18" s="157">
        <f>'ROI - SEP'!F18</f>
        <v>22000</v>
      </c>
      <c r="H18" s="156"/>
    </row>
    <row r="19" spans="3:9" hidden="1" x14ac:dyDescent="0.2">
      <c r="C19" s="29"/>
      <c r="D19" s="33"/>
      <c r="E19" s="171" t="s">
        <v>26</v>
      </c>
      <c r="F19" s="156">
        <f t="shared" si="0"/>
        <v>0</v>
      </c>
      <c r="G19" s="157">
        <f>'ROI - SEP'!F19</f>
        <v>0</v>
      </c>
      <c r="H19" s="156"/>
    </row>
    <row r="20" spans="3:9" x14ac:dyDescent="0.2">
      <c r="C20" s="29"/>
      <c r="D20" s="33"/>
      <c r="E20" s="171" t="s">
        <v>27</v>
      </c>
      <c r="F20" s="156">
        <f t="shared" si="0"/>
        <v>120000</v>
      </c>
      <c r="G20" s="157">
        <f>'ROI - SEP'!F20</f>
        <v>120000</v>
      </c>
      <c r="H20" s="156"/>
    </row>
    <row r="21" spans="3:9" x14ac:dyDescent="0.2">
      <c r="C21" s="29"/>
      <c r="D21" s="33"/>
      <c r="E21" s="171" t="s">
        <v>225</v>
      </c>
      <c r="F21" s="156">
        <f>SUM(G21:H21)</f>
        <v>207000</v>
      </c>
      <c r="G21" s="157">
        <f>'ROI - SEP'!F21</f>
        <v>187000</v>
      </c>
      <c r="H21" s="156">
        <v>20000</v>
      </c>
    </row>
    <row r="22" spans="3:9" hidden="1" x14ac:dyDescent="0.2">
      <c r="C22" s="29"/>
      <c r="D22" s="33"/>
      <c r="E22" s="171" t="s">
        <v>30</v>
      </c>
      <c r="F22" s="156">
        <f t="shared" si="0"/>
        <v>0</v>
      </c>
      <c r="G22" s="157">
        <f>'ROI - SEP'!F22</f>
        <v>0</v>
      </c>
      <c r="H22" s="156"/>
    </row>
    <row r="23" spans="3:9" x14ac:dyDescent="0.2">
      <c r="C23" s="29"/>
      <c r="D23" s="33"/>
      <c r="E23" s="171" t="s">
        <v>31</v>
      </c>
      <c r="F23" s="156">
        <f>SUM(G23:H23)</f>
        <v>237000</v>
      </c>
      <c r="G23" s="157">
        <f>'ROI - SEP'!F23</f>
        <v>219000</v>
      </c>
      <c r="H23" s="156">
        <v>18000</v>
      </c>
    </row>
    <row r="24" spans="3:9" hidden="1" x14ac:dyDescent="0.2">
      <c r="C24" s="29"/>
      <c r="D24" s="33"/>
      <c r="E24" s="171" t="s">
        <v>32</v>
      </c>
      <c r="F24" s="156">
        <f t="shared" si="0"/>
        <v>0</v>
      </c>
      <c r="G24" s="157">
        <f>'ROI - SEP'!F24</f>
        <v>0</v>
      </c>
      <c r="H24" s="156"/>
    </row>
    <row r="25" spans="3:9" hidden="1" x14ac:dyDescent="0.2">
      <c r="C25" s="29"/>
      <c r="D25" s="33"/>
      <c r="E25" s="171" t="s">
        <v>33</v>
      </c>
      <c r="F25" s="156">
        <f t="shared" si="0"/>
        <v>0</v>
      </c>
      <c r="G25" s="157">
        <f>'ROI - SEP'!F25</f>
        <v>0</v>
      </c>
      <c r="H25" s="156"/>
    </row>
    <row r="26" spans="3:9" x14ac:dyDescent="0.2">
      <c r="C26" s="29"/>
      <c r="D26" s="33"/>
      <c r="E26" s="171" t="s">
        <v>194</v>
      </c>
      <c r="F26" s="156">
        <f>SUM(G26:H26)</f>
        <v>43620</v>
      </c>
      <c r="G26" s="157">
        <f>'ROI - SEP'!F26</f>
        <v>41520</v>
      </c>
      <c r="H26" s="156">
        <v>2100</v>
      </c>
    </row>
    <row r="27" spans="3:9" x14ac:dyDescent="0.2">
      <c r="C27" s="29"/>
      <c r="D27" s="158"/>
      <c r="E27" s="171" t="s">
        <v>34</v>
      </c>
      <c r="F27" s="156">
        <f t="shared" si="0"/>
        <v>0</v>
      </c>
      <c r="G27" s="157">
        <f>'ROI - SEP'!F27</f>
        <v>0</v>
      </c>
      <c r="H27" s="156"/>
    </row>
    <row r="28" spans="3:9" x14ac:dyDescent="0.2">
      <c r="C28" s="29"/>
      <c r="D28" s="158"/>
      <c r="E28" s="171" t="s">
        <v>214</v>
      </c>
      <c r="F28" s="156">
        <f>SUM(G28:H28)</f>
        <v>64900</v>
      </c>
      <c r="G28" s="157">
        <f>'ROI - SEP'!F28</f>
        <v>57200</v>
      </c>
      <c r="H28" s="156">
        <v>7700</v>
      </c>
    </row>
    <row r="29" spans="3:9" x14ac:dyDescent="0.2">
      <c r="C29" s="29"/>
      <c r="D29" s="159" t="s">
        <v>35</v>
      </c>
      <c r="E29" s="171"/>
      <c r="F29" s="154">
        <f>SUM(F30:F44)</f>
        <v>2795810</v>
      </c>
      <c r="G29" s="154">
        <f>SUM(G30:G44)</f>
        <v>2544610</v>
      </c>
      <c r="H29" s="154">
        <f>SUM(H30:H44)</f>
        <v>251200</v>
      </c>
      <c r="I29" s="167"/>
    </row>
    <row r="30" spans="3:9" hidden="1" x14ac:dyDescent="0.2">
      <c r="C30" s="29"/>
      <c r="D30" s="155"/>
      <c r="E30" s="171" t="s">
        <v>36</v>
      </c>
      <c r="F30" s="156">
        <f t="shared" si="0"/>
        <v>0</v>
      </c>
      <c r="G30" s="157">
        <f>'ROI - JAN.'!F30</f>
        <v>0</v>
      </c>
      <c r="H30" s="156"/>
    </row>
    <row r="31" spans="3:9" hidden="1" x14ac:dyDescent="0.2">
      <c r="C31" s="29"/>
      <c r="D31" s="33"/>
      <c r="E31" s="171" t="s">
        <v>37</v>
      </c>
      <c r="F31" s="156">
        <f t="shared" si="0"/>
        <v>0</v>
      </c>
      <c r="G31" s="157">
        <f>'ROI - JAN.'!F31</f>
        <v>0</v>
      </c>
      <c r="H31" s="156"/>
    </row>
    <row r="32" spans="3:9" hidden="1" x14ac:dyDescent="0.2">
      <c r="C32" s="29"/>
      <c r="D32" s="33"/>
      <c r="E32" s="171" t="s">
        <v>38</v>
      </c>
      <c r="F32" s="156">
        <f t="shared" si="0"/>
        <v>0</v>
      </c>
      <c r="G32" s="157">
        <f>'ROI - JAN.'!F32</f>
        <v>0</v>
      </c>
      <c r="H32" s="156"/>
    </row>
    <row r="33" spans="2:8" hidden="1" x14ac:dyDescent="0.2">
      <c r="C33" s="29"/>
      <c r="D33" s="33"/>
      <c r="E33" s="171" t="s">
        <v>39</v>
      </c>
      <c r="F33" s="156">
        <f t="shared" si="0"/>
        <v>0</v>
      </c>
      <c r="G33" s="157">
        <f>'ROI - MAR'!F33</f>
        <v>0</v>
      </c>
      <c r="H33" s="156"/>
    </row>
    <row r="34" spans="2:8" x14ac:dyDescent="0.2">
      <c r="C34" s="29"/>
      <c r="D34" s="33"/>
      <c r="E34" s="171" t="s">
        <v>40</v>
      </c>
      <c r="F34" s="156">
        <f>SUM(G34:H34)</f>
        <v>137240</v>
      </c>
      <c r="G34" s="157">
        <f>'ROI - SEP'!F34</f>
        <v>127240</v>
      </c>
      <c r="H34" s="156">
        <v>10000</v>
      </c>
    </row>
    <row r="35" spans="2:8" x14ac:dyDescent="0.2">
      <c r="C35" s="29"/>
      <c r="D35" s="33"/>
      <c r="E35" s="171" t="s">
        <v>41</v>
      </c>
      <c r="F35" s="156">
        <f>SUM(G35:H35)</f>
        <v>222000</v>
      </c>
      <c r="G35" s="157">
        <f>'ROI - SEP'!F35</f>
        <v>210000</v>
      </c>
      <c r="H35" s="156">
        <v>12000</v>
      </c>
    </row>
    <row r="36" spans="2:8" s="161" customFormat="1" x14ac:dyDescent="0.2">
      <c r="B36" s="160"/>
      <c r="C36" s="29"/>
      <c r="D36" s="33"/>
      <c r="E36" s="171" t="s">
        <v>42</v>
      </c>
      <c r="F36" s="156">
        <f t="shared" si="0"/>
        <v>6000</v>
      </c>
      <c r="G36" s="157">
        <f>'ROI - SEP'!F36</f>
        <v>6000</v>
      </c>
      <c r="H36" s="156"/>
    </row>
    <row r="37" spans="2:8" x14ac:dyDescent="0.2">
      <c r="C37" s="29"/>
      <c r="D37" s="33"/>
      <c r="E37" s="171" t="s">
        <v>43</v>
      </c>
      <c r="F37" s="156">
        <f t="shared" si="0"/>
        <v>0</v>
      </c>
      <c r="G37" s="157">
        <f>'ROI - SEP'!F37</f>
        <v>0</v>
      </c>
      <c r="H37" s="156"/>
    </row>
    <row r="38" spans="2:8" x14ac:dyDescent="0.2">
      <c r="C38" s="29"/>
      <c r="D38" s="33"/>
      <c r="E38" s="171" t="s">
        <v>44</v>
      </c>
      <c r="F38" s="156">
        <f t="shared" si="0"/>
        <v>18000</v>
      </c>
      <c r="G38" s="157">
        <f>'ROI - SEP'!F38</f>
        <v>18000</v>
      </c>
      <c r="H38" s="156"/>
    </row>
    <row r="39" spans="2:8" ht="12" customHeight="1" x14ac:dyDescent="0.2">
      <c r="C39" s="29"/>
      <c r="D39" s="33"/>
      <c r="E39" s="171" t="s">
        <v>45</v>
      </c>
      <c r="F39" s="156">
        <f t="shared" si="0"/>
        <v>363030</v>
      </c>
      <c r="G39" s="157">
        <f>'ROI - SEP'!F39</f>
        <v>327030</v>
      </c>
      <c r="H39" s="156">
        <v>36000</v>
      </c>
    </row>
    <row r="40" spans="2:8" x14ac:dyDescent="0.2">
      <c r="C40" s="29"/>
      <c r="D40" s="158"/>
      <c r="E40" s="171" t="s">
        <v>199</v>
      </c>
      <c r="F40" s="156">
        <f t="shared" si="0"/>
        <v>218100</v>
      </c>
      <c r="G40" s="157">
        <f>'ROI - SEP'!F40</f>
        <v>192900</v>
      </c>
      <c r="H40" s="156">
        <v>25200</v>
      </c>
    </row>
    <row r="41" spans="2:8" x14ac:dyDescent="0.2">
      <c r="C41" s="29"/>
      <c r="D41" s="158"/>
      <c r="E41" s="171" t="s">
        <v>213</v>
      </c>
      <c r="F41" s="156">
        <f t="shared" si="0"/>
        <v>1729440</v>
      </c>
      <c r="G41" s="157">
        <f>'ROI - SEP'!F41</f>
        <v>1561440</v>
      </c>
      <c r="H41" s="156">
        <v>168000</v>
      </c>
    </row>
    <row r="42" spans="2:8" x14ac:dyDescent="0.2">
      <c r="C42" s="29"/>
      <c r="D42" s="158"/>
      <c r="E42" s="171" t="s">
        <v>220</v>
      </c>
      <c r="F42" s="156">
        <f t="shared" si="0"/>
        <v>24000</v>
      </c>
      <c r="G42" s="157">
        <f>'ROI - SEP'!F42</f>
        <v>24000</v>
      </c>
      <c r="H42" s="156"/>
    </row>
    <row r="43" spans="2:8" x14ac:dyDescent="0.2">
      <c r="C43" s="29"/>
      <c r="D43" s="158"/>
      <c r="E43" s="171" t="s">
        <v>224</v>
      </c>
      <c r="F43" s="156">
        <f t="shared" si="0"/>
        <v>66000</v>
      </c>
      <c r="G43" s="157">
        <f>'ROI - SEP'!F43</f>
        <v>66000</v>
      </c>
      <c r="H43" s="156"/>
    </row>
    <row r="44" spans="2:8" x14ac:dyDescent="0.2">
      <c r="C44" s="29"/>
      <c r="D44" s="158"/>
      <c r="E44" s="171" t="s">
        <v>246</v>
      </c>
      <c r="F44" s="156">
        <f t="shared" si="0"/>
        <v>12000</v>
      </c>
      <c r="G44" s="157">
        <f>'ROI - SEP'!F44</f>
        <v>12000</v>
      </c>
      <c r="H44" s="156"/>
    </row>
    <row r="45" spans="2:8" x14ac:dyDescent="0.2">
      <c r="C45" s="29"/>
      <c r="D45" s="159" t="s">
        <v>10</v>
      </c>
      <c r="E45" s="23"/>
      <c r="F45" s="154">
        <f>SUM(F46:F50)</f>
        <v>11753</v>
      </c>
      <c r="G45" s="154">
        <f>SUM(G46:G50)</f>
        <v>11753</v>
      </c>
      <c r="H45" s="154">
        <f>SUM(H46:H50)</f>
        <v>0</v>
      </c>
    </row>
    <row r="46" spans="2:8" hidden="1" x14ac:dyDescent="0.2">
      <c r="C46" s="29"/>
      <c r="D46" s="155"/>
      <c r="E46" s="23" t="s">
        <v>116</v>
      </c>
      <c r="F46" s="156">
        <f t="shared" si="0"/>
        <v>0</v>
      </c>
      <c r="G46" s="157">
        <f>'ROI - JAN.'!F43</f>
        <v>0</v>
      </c>
      <c r="H46" s="154"/>
    </row>
    <row r="47" spans="2:8" s="161" customFormat="1" x14ac:dyDescent="0.2">
      <c r="B47" s="160"/>
      <c r="C47" s="29"/>
      <c r="D47" s="155"/>
      <c r="E47" s="23" t="s">
        <v>46</v>
      </c>
      <c r="F47" s="156">
        <f>SUM(G47:H47)</f>
        <v>753</v>
      </c>
      <c r="G47" s="157">
        <f>'ROI - SEP'!F47</f>
        <v>753</v>
      </c>
      <c r="H47" s="156"/>
    </row>
    <row r="48" spans="2:8" x14ac:dyDescent="0.2">
      <c r="C48" s="29"/>
      <c r="D48" s="33"/>
      <c r="E48" s="23" t="s">
        <v>231</v>
      </c>
      <c r="F48" s="156">
        <f>SUM(G48:H48)</f>
        <v>11000</v>
      </c>
      <c r="G48" s="157">
        <f>'ROI - SEP'!F48</f>
        <v>11000</v>
      </c>
      <c r="H48" s="156"/>
    </row>
    <row r="49" spans="3:8" hidden="1" x14ac:dyDescent="0.2">
      <c r="C49" s="29"/>
      <c r="D49" s="33"/>
      <c r="E49" s="23" t="s">
        <v>48</v>
      </c>
      <c r="F49" s="156">
        <f t="shared" si="0"/>
        <v>0</v>
      </c>
      <c r="G49" s="157">
        <f>'ROI - JAN.'!F46</f>
        <v>0</v>
      </c>
      <c r="H49" s="156"/>
    </row>
    <row r="50" spans="3:8" hidden="1" x14ac:dyDescent="0.2">
      <c r="C50" s="29"/>
      <c r="D50" s="158"/>
      <c r="E50" s="23" t="s">
        <v>49</v>
      </c>
      <c r="F50" s="156">
        <f t="shared" si="0"/>
        <v>0</v>
      </c>
      <c r="G50" s="157">
        <f>'ROI - JAN.'!F47</f>
        <v>0</v>
      </c>
      <c r="H50" s="156"/>
    </row>
    <row r="51" spans="3:8" x14ac:dyDescent="0.2">
      <c r="C51" s="29"/>
      <c r="D51" s="159" t="s">
        <v>50</v>
      </c>
      <c r="E51" s="23"/>
      <c r="F51" s="154">
        <f>SUM(F52:F54)</f>
        <v>182370</v>
      </c>
      <c r="G51" s="154">
        <f>SUM(G52:G54)</f>
        <v>177435</v>
      </c>
      <c r="H51" s="154">
        <f>SUM(H52:H54)</f>
        <v>4935</v>
      </c>
    </row>
    <row r="52" spans="3:8" hidden="1" x14ac:dyDescent="0.2">
      <c r="C52" s="29"/>
      <c r="D52" s="155"/>
      <c r="E52" s="23" t="s">
        <v>51</v>
      </c>
      <c r="F52" s="156">
        <f>H52+G52</f>
        <v>0</v>
      </c>
      <c r="G52" s="157">
        <f>'ROI - JAN.'!F49</f>
        <v>0</v>
      </c>
      <c r="H52" s="156"/>
    </row>
    <row r="53" spans="3:8" x14ac:dyDescent="0.2">
      <c r="C53" s="29"/>
      <c r="D53" s="33"/>
      <c r="E53" s="23" t="s">
        <v>205</v>
      </c>
      <c r="F53" s="156">
        <f>SUM(G53:H53)</f>
        <v>25500</v>
      </c>
      <c r="G53" s="157">
        <f>'ROI - SEP'!F53</f>
        <v>24300</v>
      </c>
      <c r="H53" s="156">
        <v>1200</v>
      </c>
    </row>
    <row r="54" spans="3:8" x14ac:dyDescent="0.2">
      <c r="C54" s="29"/>
      <c r="D54" s="158"/>
      <c r="E54" s="23" t="s">
        <v>52</v>
      </c>
      <c r="F54" s="156">
        <f>SUM(G54:H54)</f>
        <v>156870</v>
      </c>
      <c r="G54" s="157">
        <f>'ROI - SEP'!F54</f>
        <v>153135</v>
      </c>
      <c r="H54" s="156">
        <v>3735</v>
      </c>
    </row>
    <row r="55" spans="3:8" x14ac:dyDescent="0.2">
      <c r="C55" s="29"/>
      <c r="D55" s="159" t="s">
        <v>53</v>
      </c>
      <c r="E55" s="23"/>
      <c r="F55" s="154">
        <v>0</v>
      </c>
      <c r="G55" s="23"/>
      <c r="H55" s="154">
        <v>0</v>
      </c>
    </row>
    <row r="56" spans="3:8" x14ac:dyDescent="0.2">
      <c r="C56" s="162"/>
      <c r="D56" s="159" t="s">
        <v>57</v>
      </c>
      <c r="E56" s="23"/>
      <c r="F56" s="154">
        <v>0</v>
      </c>
      <c r="G56" s="23"/>
      <c r="H56" s="154">
        <v>0</v>
      </c>
    </row>
    <row r="57" spans="3:8" x14ac:dyDescent="0.2">
      <c r="C57" s="154" t="s">
        <v>11</v>
      </c>
      <c r="D57" s="159"/>
      <c r="E57" s="23"/>
      <c r="F57" s="156">
        <f>F12+F13+F29+F45+F51+F55+F56</f>
        <v>4494523</v>
      </c>
      <c r="G57" s="156">
        <f>G12+G13+G29+G45+G51+G55+G56</f>
        <v>4116088</v>
      </c>
      <c r="H57" s="156">
        <f>H12+H13+H29+H45+H51+H55+H56</f>
        <v>378435</v>
      </c>
    </row>
    <row r="58" spans="3:8" x14ac:dyDescent="0.2">
      <c r="C58" s="154" t="s">
        <v>12</v>
      </c>
      <c r="D58" s="159"/>
      <c r="E58" s="23"/>
      <c r="F58" s="156"/>
      <c r="G58" s="23"/>
      <c r="H58" s="156"/>
    </row>
    <row r="59" spans="3:8" hidden="1" x14ac:dyDescent="0.2">
      <c r="C59" s="153"/>
      <c r="D59" s="159" t="s">
        <v>7</v>
      </c>
      <c r="E59" s="23"/>
      <c r="F59" s="156">
        <v>0</v>
      </c>
      <c r="G59" s="23"/>
      <c r="H59" s="156">
        <v>0</v>
      </c>
    </row>
    <row r="60" spans="3:8" hidden="1" x14ac:dyDescent="0.2">
      <c r="C60" s="29"/>
      <c r="D60" s="159" t="s">
        <v>21</v>
      </c>
      <c r="E60" s="23"/>
      <c r="F60" s="156">
        <v>0</v>
      </c>
      <c r="G60" s="23"/>
      <c r="H60" s="156">
        <v>0</v>
      </c>
    </row>
    <row r="61" spans="3:8" hidden="1" x14ac:dyDescent="0.2">
      <c r="C61" s="29"/>
      <c r="D61" s="159" t="s">
        <v>35</v>
      </c>
      <c r="E61" s="23"/>
      <c r="F61" s="156">
        <v>0</v>
      </c>
      <c r="G61" s="23"/>
      <c r="H61" s="156">
        <v>0</v>
      </c>
    </row>
    <row r="62" spans="3:8" hidden="1" x14ac:dyDescent="0.2">
      <c r="C62" s="29"/>
      <c r="D62" s="159" t="s">
        <v>10</v>
      </c>
      <c r="E62" s="23"/>
      <c r="F62" s="156">
        <v>0</v>
      </c>
      <c r="G62" s="23"/>
      <c r="H62" s="156">
        <v>0</v>
      </c>
    </row>
    <row r="63" spans="3:8" hidden="1" x14ac:dyDescent="0.2">
      <c r="C63" s="29"/>
      <c r="D63" s="159" t="s">
        <v>50</v>
      </c>
      <c r="E63" s="23"/>
      <c r="F63" s="156">
        <v>0</v>
      </c>
      <c r="G63" s="23"/>
      <c r="H63" s="156">
        <v>0</v>
      </c>
    </row>
    <row r="64" spans="3:8" hidden="1" x14ac:dyDescent="0.2">
      <c r="C64" s="29"/>
      <c r="D64" s="159" t="s">
        <v>53</v>
      </c>
      <c r="E64" s="23"/>
      <c r="F64" s="156">
        <v>0</v>
      </c>
      <c r="G64" s="23"/>
      <c r="H64" s="156">
        <v>0</v>
      </c>
    </row>
    <row r="65" spans="2:9" hidden="1" x14ac:dyDescent="0.2">
      <c r="C65" s="162"/>
      <c r="D65" s="159" t="s">
        <v>57</v>
      </c>
      <c r="E65" s="23"/>
      <c r="F65" s="156">
        <v>0</v>
      </c>
      <c r="G65" s="23"/>
      <c r="H65" s="156">
        <v>0</v>
      </c>
    </row>
    <row r="66" spans="2:9" x14ac:dyDescent="0.2">
      <c r="C66" s="154" t="s">
        <v>13</v>
      </c>
      <c r="D66" s="159"/>
      <c r="E66" s="159"/>
      <c r="F66" s="154">
        <f>SUM(F59:F65)</f>
        <v>0</v>
      </c>
      <c r="G66" s="23"/>
      <c r="H66" s="154">
        <f>SUM(H59:H65)</f>
        <v>0</v>
      </c>
    </row>
    <row r="67" spans="2:9" x14ac:dyDescent="0.2">
      <c r="C67" s="163" t="s">
        <v>14</v>
      </c>
      <c r="D67" s="164"/>
      <c r="E67" s="165"/>
      <c r="F67" s="166">
        <f>F57+F66</f>
        <v>4494523</v>
      </c>
      <c r="G67" s="166">
        <f>G57+G66</f>
        <v>4116088</v>
      </c>
      <c r="H67" s="166">
        <f>H57+H66</f>
        <v>378435</v>
      </c>
    </row>
    <row r="68" spans="2:9" x14ac:dyDescent="0.2">
      <c r="C68" s="160"/>
      <c r="D68" s="161"/>
      <c r="F68" s="6"/>
    </row>
    <row r="69" spans="2:9" x14ac:dyDescent="0.2">
      <c r="E69" s="161" t="s">
        <v>15</v>
      </c>
      <c r="G69" s="167"/>
      <c r="I69" s="167"/>
    </row>
    <row r="70" spans="2:9" s="161" customFormat="1" x14ac:dyDescent="0.2">
      <c r="B70" s="160"/>
      <c r="C70" s="5"/>
      <c r="D70" s="5"/>
      <c r="E70" s="5"/>
      <c r="F70" s="5"/>
      <c r="G70" s="167"/>
      <c r="H70" s="167"/>
    </row>
    <row r="71" spans="2:9" x14ac:dyDescent="0.2">
      <c r="E71" s="161" t="s">
        <v>7</v>
      </c>
      <c r="G71" s="161"/>
      <c r="H71" s="177"/>
    </row>
    <row r="72" spans="2:9" x14ac:dyDescent="0.2">
      <c r="E72" s="5" t="s">
        <v>54</v>
      </c>
      <c r="F72" s="167">
        <f>F12</f>
        <v>0</v>
      </c>
      <c r="G72" s="167"/>
      <c r="H72" s="167"/>
    </row>
    <row r="73" spans="2:9" x14ac:dyDescent="0.2">
      <c r="E73" s="5" t="s">
        <v>55</v>
      </c>
      <c r="F73" s="167">
        <f>F59</f>
        <v>0</v>
      </c>
    </row>
    <row r="74" spans="2:9" x14ac:dyDescent="0.2">
      <c r="E74" s="168" t="s">
        <v>56</v>
      </c>
      <c r="F74" s="169">
        <f>F72+F73</f>
        <v>0</v>
      </c>
    </row>
    <row r="75" spans="2:9" x14ac:dyDescent="0.2">
      <c r="E75" s="161" t="s">
        <v>21</v>
      </c>
      <c r="H75" s="167"/>
    </row>
    <row r="76" spans="2:9" x14ac:dyDescent="0.2">
      <c r="E76" s="5" t="s">
        <v>54</v>
      </c>
      <c r="F76" s="167">
        <f>F13</f>
        <v>1504590</v>
      </c>
    </row>
    <row r="77" spans="2:9" x14ac:dyDescent="0.2">
      <c r="E77" s="5" t="s">
        <v>55</v>
      </c>
      <c r="F77" s="167">
        <f>F60</f>
        <v>0</v>
      </c>
    </row>
    <row r="78" spans="2:9" x14ac:dyDescent="0.2">
      <c r="E78" s="168" t="s">
        <v>56</v>
      </c>
      <c r="F78" s="169">
        <f>F76+F77</f>
        <v>1504590</v>
      </c>
    </row>
    <row r="79" spans="2:9" x14ac:dyDescent="0.2">
      <c r="E79" s="161" t="s">
        <v>58</v>
      </c>
    </row>
    <row r="80" spans="2:9" x14ac:dyDescent="0.2">
      <c r="E80" s="5" t="s">
        <v>54</v>
      </c>
      <c r="F80" s="167">
        <f>F29</f>
        <v>2795810</v>
      </c>
    </row>
    <row r="81" spans="5:6" x14ac:dyDescent="0.2">
      <c r="E81" s="5" t="s">
        <v>55</v>
      </c>
      <c r="F81" s="167">
        <f>F61</f>
        <v>0</v>
      </c>
    </row>
    <row r="82" spans="5:6" x14ac:dyDescent="0.2">
      <c r="E82" s="168" t="s">
        <v>56</v>
      </c>
      <c r="F82" s="169">
        <f>F80+F81</f>
        <v>2795810</v>
      </c>
    </row>
    <row r="83" spans="5:6" x14ac:dyDescent="0.2">
      <c r="E83" s="161" t="s">
        <v>10</v>
      </c>
    </row>
    <row r="84" spans="5:6" x14ac:dyDescent="0.2">
      <c r="E84" s="5" t="s">
        <v>54</v>
      </c>
      <c r="F84" s="167">
        <f>F45</f>
        <v>11753</v>
      </c>
    </row>
    <row r="85" spans="5:6" x14ac:dyDescent="0.2">
      <c r="E85" s="5" t="s">
        <v>55</v>
      </c>
      <c r="F85" s="167">
        <f>F62</f>
        <v>0</v>
      </c>
    </row>
    <row r="86" spans="5:6" x14ac:dyDescent="0.2">
      <c r="E86" s="168" t="s">
        <v>56</v>
      </c>
      <c r="F86" s="169">
        <f>F84+F85</f>
        <v>11753</v>
      </c>
    </row>
    <row r="87" spans="5:6" x14ac:dyDescent="0.2">
      <c r="E87" s="161" t="s">
        <v>50</v>
      </c>
    </row>
    <row r="88" spans="5:6" x14ac:dyDescent="0.2">
      <c r="E88" s="5" t="s">
        <v>54</v>
      </c>
      <c r="F88" s="167">
        <f>F51</f>
        <v>182370</v>
      </c>
    </row>
    <row r="89" spans="5:6" x14ac:dyDescent="0.2">
      <c r="E89" s="5" t="s">
        <v>55</v>
      </c>
      <c r="F89" s="167">
        <f>F63</f>
        <v>0</v>
      </c>
    </row>
    <row r="90" spans="5:6" x14ac:dyDescent="0.2">
      <c r="E90" s="168" t="s">
        <v>56</v>
      </c>
      <c r="F90" s="169">
        <f>F88+F89</f>
        <v>182370</v>
      </c>
    </row>
    <row r="91" spans="5:6" hidden="1" x14ac:dyDescent="0.2">
      <c r="E91" s="161" t="s">
        <v>53</v>
      </c>
    </row>
    <row r="92" spans="5:6" hidden="1" x14ac:dyDescent="0.2">
      <c r="E92" s="5" t="s">
        <v>54</v>
      </c>
      <c r="F92" s="167">
        <f>F55</f>
        <v>0</v>
      </c>
    </row>
    <row r="93" spans="5:6" hidden="1" x14ac:dyDescent="0.2">
      <c r="E93" s="5" t="s">
        <v>55</v>
      </c>
      <c r="F93" s="167">
        <f>F64</f>
        <v>0</v>
      </c>
    </row>
    <row r="94" spans="5:6" hidden="1" x14ac:dyDescent="0.2">
      <c r="E94" s="168" t="s">
        <v>56</v>
      </c>
      <c r="F94" s="169">
        <f>F92+F93</f>
        <v>0</v>
      </c>
    </row>
    <row r="95" spans="5:6" hidden="1" x14ac:dyDescent="0.2">
      <c r="E95" s="161" t="s">
        <v>57</v>
      </c>
    </row>
    <row r="96" spans="5:6" hidden="1" x14ac:dyDescent="0.2">
      <c r="E96" s="5" t="s">
        <v>54</v>
      </c>
      <c r="F96" s="167">
        <f>F56</f>
        <v>0</v>
      </c>
    </row>
    <row r="97" spans="3:8" hidden="1" x14ac:dyDescent="0.2">
      <c r="E97" s="5" t="s">
        <v>55</v>
      </c>
      <c r="F97" s="167">
        <f>F65</f>
        <v>0</v>
      </c>
    </row>
    <row r="98" spans="3:8" x14ac:dyDescent="0.2">
      <c r="E98" s="168" t="s">
        <v>56</v>
      </c>
      <c r="F98" s="169">
        <f>F96+F97</f>
        <v>0</v>
      </c>
    </row>
    <row r="99" spans="3:8" ht="13.5" thickBot="1" x14ac:dyDescent="0.25">
      <c r="E99" s="161" t="s">
        <v>59</v>
      </c>
      <c r="F99" s="170">
        <f>F74+F78+F82+F86+F90+F94+F98</f>
        <v>4494523</v>
      </c>
    </row>
    <row r="100" spans="3:8" ht="13.5" thickTop="1" x14ac:dyDescent="0.2"/>
    <row r="102" spans="3:8" x14ac:dyDescent="0.2">
      <c r="C102" s="195"/>
      <c r="D102" s="195"/>
      <c r="E102" s="195"/>
      <c r="F102" s="195" t="s">
        <v>17</v>
      </c>
      <c r="G102" s="195"/>
      <c r="H102" s="195"/>
    </row>
    <row r="103" spans="3:8" x14ac:dyDescent="0.2">
      <c r="C103" s="161"/>
      <c r="F103" s="195"/>
      <c r="G103" s="195"/>
      <c r="H103" s="195"/>
    </row>
    <row r="104" spans="3:8" x14ac:dyDescent="0.2">
      <c r="C104" s="194"/>
      <c r="D104" s="194"/>
      <c r="E104" s="194"/>
    </row>
    <row r="105" spans="3:8" x14ac:dyDescent="0.2">
      <c r="C105" s="195"/>
      <c r="D105" s="195"/>
      <c r="E105" s="195"/>
      <c r="F105" s="172"/>
      <c r="G105" s="172" t="s">
        <v>197</v>
      </c>
      <c r="H105" s="172"/>
    </row>
    <row r="106" spans="3:8" x14ac:dyDescent="0.2">
      <c r="F106" s="195" t="s">
        <v>198</v>
      </c>
      <c r="G106" s="195"/>
      <c r="H106" s="195"/>
    </row>
  </sheetData>
  <mergeCells count="15">
    <mergeCell ref="C104:E104"/>
    <mergeCell ref="C105:E105"/>
    <mergeCell ref="F106:H106"/>
    <mergeCell ref="C7:H7"/>
    <mergeCell ref="C8:H8"/>
    <mergeCell ref="C10:D10"/>
    <mergeCell ref="C102:E102"/>
    <mergeCell ref="F102:H102"/>
    <mergeCell ref="F103:H103"/>
    <mergeCell ref="C6:H6"/>
    <mergeCell ref="C1:H1"/>
    <mergeCell ref="C2:H2"/>
    <mergeCell ref="C3:H3"/>
    <mergeCell ref="C4:H4"/>
    <mergeCell ref="C5:H5"/>
  </mergeCells>
  <pageMargins left="0.5" right="0.25" top="0.25" bottom="0.25" header="0.3" footer="0.3"/>
  <pageSetup paperSize="155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6"/>
  <sheetViews>
    <sheetView topLeftCell="B1" zoomScaleNormal="100" workbookViewId="0">
      <pane xSplit="4" ySplit="12" topLeftCell="F55" activePane="bottomRight" state="frozen"/>
      <selection activeCell="B1" sqref="B1"/>
      <selection pane="topRight" activeCell="F1" sqref="F1"/>
      <selection pane="bottomLeft" activeCell="B13" sqref="B13"/>
      <selection pane="bottomRight" activeCell="H53" sqref="H53:H54"/>
    </sheetView>
  </sheetViews>
  <sheetFormatPr defaultRowHeight="12.75" x14ac:dyDescent="0.2"/>
  <cols>
    <col min="1" max="1" width="18.140625" style="5" hidden="1" customWidth="1"/>
    <col min="2" max="2" width="3.28515625" style="6" customWidth="1"/>
    <col min="3" max="3" width="5.140625" style="5" customWidth="1"/>
    <col min="4" max="4" width="5.85546875" style="5" customWidth="1"/>
    <col min="5" max="5" width="47.42578125" style="5" customWidth="1"/>
    <col min="6" max="6" width="16.28515625" style="5" customWidth="1"/>
    <col min="7" max="7" width="14.85546875" style="5" customWidth="1"/>
    <col min="8" max="8" width="16.5703125" style="5" customWidth="1"/>
    <col min="9" max="9" width="9.85546875" style="5" bestFit="1" customWidth="1"/>
    <col min="10" max="16384" width="9.140625" style="5"/>
  </cols>
  <sheetData>
    <row r="1" spans="3:10" x14ac:dyDescent="0.2">
      <c r="C1" s="195" t="s">
        <v>0</v>
      </c>
      <c r="D1" s="195"/>
      <c r="E1" s="195"/>
      <c r="F1" s="195"/>
      <c r="G1" s="195"/>
      <c r="H1" s="195"/>
    </row>
    <row r="2" spans="3:10" x14ac:dyDescent="0.2">
      <c r="C2" s="195" t="s">
        <v>1</v>
      </c>
      <c r="D2" s="195"/>
      <c r="E2" s="195"/>
      <c r="F2" s="195"/>
      <c r="G2" s="195"/>
      <c r="H2" s="195"/>
    </row>
    <row r="3" spans="3:10" x14ac:dyDescent="0.2">
      <c r="C3" s="195"/>
      <c r="D3" s="195"/>
      <c r="E3" s="195"/>
      <c r="F3" s="195"/>
      <c r="G3" s="195"/>
      <c r="H3" s="195"/>
    </row>
    <row r="4" spans="3:10" x14ac:dyDescent="0.2">
      <c r="C4" s="194" t="s">
        <v>2</v>
      </c>
      <c r="D4" s="194"/>
      <c r="E4" s="194"/>
      <c r="F4" s="194"/>
      <c r="G4" s="194"/>
      <c r="H4" s="194"/>
    </row>
    <row r="5" spans="3:10" x14ac:dyDescent="0.2">
      <c r="C5" s="195" t="s">
        <v>207</v>
      </c>
      <c r="D5" s="195"/>
      <c r="E5" s="195"/>
      <c r="F5" s="195"/>
      <c r="G5" s="195"/>
      <c r="H5" s="195"/>
    </row>
    <row r="6" spans="3:10" x14ac:dyDescent="0.2">
      <c r="C6" s="195"/>
      <c r="D6" s="195"/>
      <c r="E6" s="195"/>
      <c r="F6" s="195"/>
      <c r="G6" s="195"/>
      <c r="H6" s="195"/>
    </row>
    <row r="7" spans="3:10" x14ac:dyDescent="0.2">
      <c r="C7" s="194" t="s">
        <v>209</v>
      </c>
      <c r="D7" s="194"/>
      <c r="E7" s="194"/>
      <c r="F7" s="194"/>
      <c r="G7" s="194"/>
      <c r="H7" s="194"/>
    </row>
    <row r="8" spans="3:10" x14ac:dyDescent="0.2">
      <c r="C8" s="195" t="s">
        <v>264</v>
      </c>
      <c r="D8" s="195"/>
      <c r="E8" s="195"/>
      <c r="F8" s="195"/>
      <c r="G8" s="195"/>
      <c r="H8" s="195"/>
    </row>
    <row r="10" spans="3:10" ht="38.25" x14ac:dyDescent="0.2">
      <c r="C10" s="196" t="s">
        <v>3</v>
      </c>
      <c r="D10" s="196"/>
      <c r="E10" s="182" t="s">
        <v>4</v>
      </c>
      <c r="F10" s="182" t="s">
        <v>267</v>
      </c>
      <c r="G10" s="182" t="s">
        <v>266</v>
      </c>
      <c r="H10" s="182" t="s">
        <v>265</v>
      </c>
      <c r="I10" s="148"/>
      <c r="J10" s="148"/>
    </row>
    <row r="11" spans="3:10" x14ac:dyDescent="0.2">
      <c r="C11" s="149" t="s">
        <v>6</v>
      </c>
      <c r="D11" s="150"/>
      <c r="E11" s="151"/>
      <c r="F11" s="152"/>
      <c r="G11" s="151"/>
      <c r="H11" s="151"/>
    </row>
    <row r="12" spans="3:10" x14ac:dyDescent="0.2">
      <c r="C12" s="153"/>
      <c r="D12" s="154" t="s">
        <v>7</v>
      </c>
      <c r="E12" s="23"/>
      <c r="F12" s="154">
        <v>0</v>
      </c>
      <c r="G12" s="23"/>
      <c r="H12" s="154">
        <v>0</v>
      </c>
    </row>
    <row r="13" spans="3:10" x14ac:dyDescent="0.2">
      <c r="C13" s="29"/>
      <c r="D13" s="154" t="s">
        <v>21</v>
      </c>
      <c r="E13" s="23"/>
      <c r="F13" s="154">
        <f>SUM(F14:F28)</f>
        <v>1562190</v>
      </c>
      <c r="G13" s="154">
        <f>SUM(G14:G28)</f>
        <v>1504590</v>
      </c>
      <c r="H13" s="154">
        <f>SUM(H14:H28)</f>
        <v>57600</v>
      </c>
      <c r="I13" s="167"/>
    </row>
    <row r="14" spans="3:10" x14ac:dyDescent="0.2">
      <c r="C14" s="29"/>
      <c r="D14" s="155"/>
      <c r="E14" s="171" t="s">
        <v>8</v>
      </c>
      <c r="F14" s="156">
        <f>SUM(G14:H14)</f>
        <v>27000</v>
      </c>
      <c r="G14" s="157">
        <f>'ROI - OCT'!F14</f>
        <v>27000</v>
      </c>
      <c r="H14" s="156"/>
    </row>
    <row r="15" spans="3:10" hidden="1" x14ac:dyDescent="0.2">
      <c r="C15" s="29"/>
      <c r="D15" s="33"/>
      <c r="E15" s="171" t="s">
        <v>22</v>
      </c>
      <c r="F15" s="156">
        <f t="shared" ref="F15:F50" si="0">SUM(G15:H15)</f>
        <v>0</v>
      </c>
      <c r="G15" s="157">
        <f>'ROI - JAN.'!F15</f>
        <v>0</v>
      </c>
      <c r="H15" s="156"/>
    </row>
    <row r="16" spans="3:10" x14ac:dyDescent="0.2">
      <c r="C16" s="29"/>
      <c r="D16" s="33"/>
      <c r="E16" s="171" t="s">
        <v>23</v>
      </c>
      <c r="F16" s="156">
        <f>SUM(G16:H16)</f>
        <v>816570</v>
      </c>
      <c r="G16" s="157">
        <f>'ROI - OCT'!F16</f>
        <v>783070</v>
      </c>
      <c r="H16" s="156">
        <v>33500</v>
      </c>
    </row>
    <row r="17" spans="3:9" hidden="1" x14ac:dyDescent="0.2">
      <c r="C17" s="29"/>
      <c r="D17" s="33"/>
      <c r="E17" s="171" t="s">
        <v>24</v>
      </c>
      <c r="F17" s="156">
        <f t="shared" si="0"/>
        <v>0</v>
      </c>
      <c r="G17" s="157">
        <f>'ROI - OCT'!F17</f>
        <v>0</v>
      </c>
      <c r="H17" s="156"/>
    </row>
    <row r="18" spans="3:9" x14ac:dyDescent="0.2">
      <c r="C18" s="29"/>
      <c r="D18" s="33"/>
      <c r="E18" s="171" t="s">
        <v>25</v>
      </c>
      <c r="F18" s="156">
        <f t="shared" si="0"/>
        <v>22000</v>
      </c>
      <c r="G18" s="157">
        <f>'ROI - OCT'!F18</f>
        <v>22000</v>
      </c>
      <c r="H18" s="156"/>
    </row>
    <row r="19" spans="3:9" hidden="1" x14ac:dyDescent="0.2">
      <c r="C19" s="29"/>
      <c r="D19" s="33"/>
      <c r="E19" s="171" t="s">
        <v>26</v>
      </c>
      <c r="F19" s="156">
        <f t="shared" si="0"/>
        <v>0</v>
      </c>
      <c r="G19" s="157">
        <f>'ROI - OCT'!F19</f>
        <v>0</v>
      </c>
      <c r="H19" s="156"/>
    </row>
    <row r="20" spans="3:9" x14ac:dyDescent="0.2">
      <c r="C20" s="29"/>
      <c r="D20" s="33"/>
      <c r="E20" s="171" t="s">
        <v>27</v>
      </c>
      <c r="F20" s="156">
        <f t="shared" si="0"/>
        <v>120000</v>
      </c>
      <c r="G20" s="157">
        <f>'ROI - OCT'!F20</f>
        <v>120000</v>
      </c>
      <c r="H20" s="156"/>
    </row>
    <row r="21" spans="3:9" x14ac:dyDescent="0.2">
      <c r="C21" s="29"/>
      <c r="D21" s="33"/>
      <c r="E21" s="171" t="s">
        <v>225</v>
      </c>
      <c r="F21" s="156">
        <f>SUM(G21:H21)</f>
        <v>215000</v>
      </c>
      <c r="G21" s="157">
        <f>'ROI - OCT'!F21</f>
        <v>207000</v>
      </c>
      <c r="H21" s="156">
        <v>8000</v>
      </c>
    </row>
    <row r="22" spans="3:9" hidden="1" x14ac:dyDescent="0.2">
      <c r="C22" s="29"/>
      <c r="D22" s="33"/>
      <c r="E22" s="171" t="s">
        <v>30</v>
      </c>
      <c r="F22" s="156">
        <f t="shared" si="0"/>
        <v>0</v>
      </c>
      <c r="G22" s="157">
        <f>'ROI - OCT'!F22</f>
        <v>0</v>
      </c>
      <c r="H22" s="156"/>
    </row>
    <row r="23" spans="3:9" x14ac:dyDescent="0.2">
      <c r="C23" s="29"/>
      <c r="D23" s="33"/>
      <c r="E23" s="171" t="s">
        <v>31</v>
      </c>
      <c r="F23" s="156">
        <f>SUM(G23:H23)</f>
        <v>243800</v>
      </c>
      <c r="G23" s="157">
        <f>'ROI - OCT'!F23</f>
        <v>237000</v>
      </c>
      <c r="H23" s="156">
        <v>6800</v>
      </c>
    </row>
    <row r="24" spans="3:9" hidden="1" x14ac:dyDescent="0.2">
      <c r="C24" s="29"/>
      <c r="D24" s="33"/>
      <c r="E24" s="171" t="s">
        <v>32</v>
      </c>
      <c r="F24" s="156">
        <f t="shared" si="0"/>
        <v>0</v>
      </c>
      <c r="G24" s="157">
        <f>'ROI - OCT'!F24</f>
        <v>0</v>
      </c>
      <c r="H24" s="156"/>
    </row>
    <row r="25" spans="3:9" hidden="1" x14ac:dyDescent="0.2">
      <c r="C25" s="29"/>
      <c r="D25" s="33"/>
      <c r="E25" s="171" t="s">
        <v>33</v>
      </c>
      <c r="F25" s="156">
        <f t="shared" si="0"/>
        <v>0</v>
      </c>
      <c r="G25" s="157">
        <f>'ROI - OCT'!F25</f>
        <v>0</v>
      </c>
      <c r="H25" s="156"/>
    </row>
    <row r="26" spans="3:9" x14ac:dyDescent="0.2">
      <c r="C26" s="29"/>
      <c r="D26" s="33"/>
      <c r="E26" s="171" t="s">
        <v>194</v>
      </c>
      <c r="F26" s="156">
        <f>SUM(G26:H26)</f>
        <v>47620</v>
      </c>
      <c r="G26" s="157">
        <f>'ROI - OCT'!F26</f>
        <v>43620</v>
      </c>
      <c r="H26" s="156">
        <v>4000</v>
      </c>
    </row>
    <row r="27" spans="3:9" x14ac:dyDescent="0.2">
      <c r="C27" s="29"/>
      <c r="D27" s="158"/>
      <c r="E27" s="171" t="s">
        <v>34</v>
      </c>
      <c r="F27" s="156">
        <f t="shared" si="0"/>
        <v>0</v>
      </c>
      <c r="G27" s="157">
        <f>'ROI - OCT'!F27</f>
        <v>0</v>
      </c>
      <c r="H27" s="156"/>
    </row>
    <row r="28" spans="3:9" x14ac:dyDescent="0.2">
      <c r="C28" s="29"/>
      <c r="D28" s="158"/>
      <c r="E28" s="171" t="s">
        <v>214</v>
      </c>
      <c r="F28" s="156">
        <f>SUM(G28:H28)</f>
        <v>70200</v>
      </c>
      <c r="G28" s="157">
        <f>'ROI - OCT'!F28</f>
        <v>64900</v>
      </c>
      <c r="H28" s="156">
        <v>5300</v>
      </c>
    </row>
    <row r="29" spans="3:9" x14ac:dyDescent="0.2">
      <c r="C29" s="29"/>
      <c r="D29" s="159" t="s">
        <v>35</v>
      </c>
      <c r="E29" s="171"/>
      <c r="F29" s="154">
        <f>SUM(F30:F44)</f>
        <v>2928310</v>
      </c>
      <c r="G29" s="154">
        <f>SUM(G30:G44)</f>
        <v>2795810</v>
      </c>
      <c r="H29" s="154">
        <f>SUM(H30:H44)</f>
        <v>132500</v>
      </c>
      <c r="I29" s="167"/>
    </row>
    <row r="30" spans="3:9" hidden="1" x14ac:dyDescent="0.2">
      <c r="C30" s="29"/>
      <c r="D30" s="155"/>
      <c r="E30" s="171" t="s">
        <v>36</v>
      </c>
      <c r="F30" s="156">
        <f t="shared" si="0"/>
        <v>0</v>
      </c>
      <c r="G30" s="157">
        <f>'ROI - JAN.'!F30</f>
        <v>0</v>
      </c>
      <c r="H30" s="156"/>
    </row>
    <row r="31" spans="3:9" hidden="1" x14ac:dyDescent="0.2">
      <c r="C31" s="29"/>
      <c r="D31" s="33"/>
      <c r="E31" s="171" t="s">
        <v>37</v>
      </c>
      <c r="F31" s="156">
        <f t="shared" si="0"/>
        <v>0</v>
      </c>
      <c r="G31" s="157">
        <f>'ROI - JAN.'!F31</f>
        <v>0</v>
      </c>
      <c r="H31" s="156"/>
    </row>
    <row r="32" spans="3:9" hidden="1" x14ac:dyDescent="0.2">
      <c r="C32" s="29"/>
      <c r="D32" s="33"/>
      <c r="E32" s="171" t="s">
        <v>38</v>
      </c>
      <c r="F32" s="156">
        <f t="shared" si="0"/>
        <v>0</v>
      </c>
      <c r="G32" s="157">
        <f>'ROI - JAN.'!F32</f>
        <v>0</v>
      </c>
      <c r="H32" s="156"/>
    </row>
    <row r="33" spans="2:8" hidden="1" x14ac:dyDescent="0.2">
      <c r="C33" s="29"/>
      <c r="D33" s="33"/>
      <c r="E33" s="171" t="s">
        <v>39</v>
      </c>
      <c r="F33" s="156">
        <f t="shared" si="0"/>
        <v>0</v>
      </c>
      <c r="G33" s="157">
        <f>'ROI - MAR'!F33</f>
        <v>0</v>
      </c>
      <c r="H33" s="156"/>
    </row>
    <row r="34" spans="2:8" x14ac:dyDescent="0.2">
      <c r="C34" s="29"/>
      <c r="D34" s="33"/>
      <c r="E34" s="171" t="s">
        <v>40</v>
      </c>
      <c r="F34" s="156">
        <f>SUM(G34:H34)</f>
        <v>139240</v>
      </c>
      <c r="G34" s="157">
        <f>'ROI - OCT'!F34</f>
        <v>137240</v>
      </c>
      <c r="H34" s="156">
        <v>2000</v>
      </c>
    </row>
    <row r="35" spans="2:8" x14ac:dyDescent="0.2">
      <c r="C35" s="29"/>
      <c r="D35" s="33"/>
      <c r="E35" s="171" t="s">
        <v>41</v>
      </c>
      <c r="F35" s="156">
        <f>SUM(G35:H35)</f>
        <v>246000</v>
      </c>
      <c r="G35" s="157">
        <f>'ROI - OCT'!F35</f>
        <v>222000</v>
      </c>
      <c r="H35" s="156">
        <v>24000</v>
      </c>
    </row>
    <row r="36" spans="2:8" s="161" customFormat="1" x14ac:dyDescent="0.2">
      <c r="B36" s="160"/>
      <c r="C36" s="29"/>
      <c r="D36" s="33"/>
      <c r="E36" s="171" t="s">
        <v>42</v>
      </c>
      <c r="F36" s="156">
        <f t="shared" si="0"/>
        <v>6000</v>
      </c>
      <c r="G36" s="157">
        <f>'ROI - OCT'!F36</f>
        <v>6000</v>
      </c>
      <c r="H36" s="156"/>
    </row>
    <row r="37" spans="2:8" x14ac:dyDescent="0.2">
      <c r="C37" s="29"/>
      <c r="D37" s="33"/>
      <c r="E37" s="171" t="s">
        <v>43</v>
      </c>
      <c r="F37" s="156">
        <f t="shared" si="0"/>
        <v>0</v>
      </c>
      <c r="G37" s="157">
        <f>'ROI - OCT'!F37</f>
        <v>0</v>
      </c>
      <c r="H37" s="156"/>
    </row>
    <row r="38" spans="2:8" x14ac:dyDescent="0.2">
      <c r="C38" s="29"/>
      <c r="D38" s="33"/>
      <c r="E38" s="171" t="s">
        <v>44</v>
      </c>
      <c r="F38" s="156">
        <f t="shared" si="0"/>
        <v>18000</v>
      </c>
      <c r="G38" s="157">
        <f>'ROI - OCT'!F38</f>
        <v>18000</v>
      </c>
      <c r="H38" s="156"/>
    </row>
    <row r="39" spans="2:8" ht="12" customHeight="1" x14ac:dyDescent="0.2">
      <c r="C39" s="29"/>
      <c r="D39" s="33"/>
      <c r="E39" s="171" t="s">
        <v>45</v>
      </c>
      <c r="F39" s="156">
        <f t="shared" si="0"/>
        <v>393030</v>
      </c>
      <c r="G39" s="157">
        <f>'ROI - OCT'!F39</f>
        <v>363030</v>
      </c>
      <c r="H39" s="156">
        <v>30000</v>
      </c>
    </row>
    <row r="40" spans="2:8" x14ac:dyDescent="0.2">
      <c r="C40" s="29"/>
      <c r="D40" s="158"/>
      <c r="E40" s="171" t="s">
        <v>199</v>
      </c>
      <c r="F40" s="156">
        <f t="shared" si="0"/>
        <v>240600</v>
      </c>
      <c r="G40" s="157">
        <f>'ROI - OCT'!F40</f>
        <v>218100</v>
      </c>
      <c r="H40" s="156">
        <v>22500</v>
      </c>
    </row>
    <row r="41" spans="2:8" x14ac:dyDescent="0.2">
      <c r="C41" s="29"/>
      <c r="D41" s="158"/>
      <c r="E41" s="171" t="s">
        <v>213</v>
      </c>
      <c r="F41" s="156">
        <f t="shared" si="0"/>
        <v>1783440</v>
      </c>
      <c r="G41" s="157">
        <f>'ROI - OCT'!F41</f>
        <v>1729440</v>
      </c>
      <c r="H41" s="156">
        <v>54000</v>
      </c>
    </row>
    <row r="42" spans="2:8" x14ac:dyDescent="0.2">
      <c r="C42" s="29"/>
      <c r="D42" s="158"/>
      <c r="E42" s="171" t="s">
        <v>220</v>
      </c>
      <c r="F42" s="156">
        <f t="shared" si="0"/>
        <v>24000</v>
      </c>
      <c r="G42" s="157">
        <f>'ROI - OCT'!F42</f>
        <v>24000</v>
      </c>
      <c r="H42" s="156"/>
    </row>
    <row r="43" spans="2:8" x14ac:dyDescent="0.2">
      <c r="C43" s="29"/>
      <c r="D43" s="158"/>
      <c r="E43" s="171" t="s">
        <v>224</v>
      </c>
      <c r="F43" s="156">
        <f t="shared" si="0"/>
        <v>66000</v>
      </c>
      <c r="G43" s="157">
        <f>'ROI - OCT'!F43</f>
        <v>66000</v>
      </c>
      <c r="H43" s="156"/>
    </row>
    <row r="44" spans="2:8" x14ac:dyDescent="0.2">
      <c r="C44" s="29"/>
      <c r="D44" s="158"/>
      <c r="E44" s="171" t="s">
        <v>246</v>
      </c>
      <c r="F44" s="156">
        <f t="shared" si="0"/>
        <v>12000</v>
      </c>
      <c r="G44" s="157">
        <f>'ROI - OCT'!F44</f>
        <v>12000</v>
      </c>
      <c r="H44" s="156"/>
    </row>
    <row r="45" spans="2:8" x14ac:dyDescent="0.2">
      <c r="C45" s="29"/>
      <c r="D45" s="159" t="s">
        <v>10</v>
      </c>
      <c r="E45" s="23"/>
      <c r="F45" s="154">
        <f>SUM(F46:F50)</f>
        <v>11753</v>
      </c>
      <c r="G45" s="154">
        <f>SUM(G46:G50)</f>
        <v>11753</v>
      </c>
      <c r="H45" s="154">
        <f>SUM(H46:H50)</f>
        <v>0</v>
      </c>
    </row>
    <row r="46" spans="2:8" hidden="1" x14ac:dyDescent="0.2">
      <c r="C46" s="29"/>
      <c r="D46" s="155"/>
      <c r="E46" s="23" t="s">
        <v>116</v>
      </c>
      <c r="F46" s="156">
        <f t="shared" si="0"/>
        <v>0</v>
      </c>
      <c r="G46" s="157">
        <f>'ROI - JAN.'!F43</f>
        <v>0</v>
      </c>
      <c r="H46" s="154"/>
    </row>
    <row r="47" spans="2:8" s="161" customFormat="1" x14ac:dyDescent="0.2">
      <c r="B47" s="160"/>
      <c r="C47" s="29"/>
      <c r="D47" s="155"/>
      <c r="E47" s="23" t="s">
        <v>46</v>
      </c>
      <c r="F47" s="156">
        <f>SUM(G47:H47)</f>
        <v>753</v>
      </c>
      <c r="G47" s="157">
        <f>'ROI - OCT'!F47</f>
        <v>753</v>
      </c>
      <c r="H47" s="156"/>
    </row>
    <row r="48" spans="2:8" x14ac:dyDescent="0.2">
      <c r="C48" s="29"/>
      <c r="D48" s="33"/>
      <c r="E48" s="23" t="s">
        <v>231</v>
      </c>
      <c r="F48" s="156">
        <f>SUM(G48:H48)</f>
        <v>11000</v>
      </c>
      <c r="G48" s="157">
        <f>'ROI - OCT'!F48</f>
        <v>11000</v>
      </c>
      <c r="H48" s="156"/>
    </row>
    <row r="49" spans="3:8" hidden="1" x14ac:dyDescent="0.2">
      <c r="C49" s="29"/>
      <c r="D49" s="33"/>
      <c r="E49" s="23" t="s">
        <v>48</v>
      </c>
      <c r="F49" s="156">
        <f t="shared" si="0"/>
        <v>0</v>
      </c>
      <c r="G49" s="157">
        <f>'ROI - JAN.'!F46</f>
        <v>0</v>
      </c>
      <c r="H49" s="156"/>
    </row>
    <row r="50" spans="3:8" hidden="1" x14ac:dyDescent="0.2">
      <c r="C50" s="29"/>
      <c r="D50" s="158"/>
      <c r="E50" s="23" t="s">
        <v>49</v>
      </c>
      <c r="F50" s="156">
        <f t="shared" si="0"/>
        <v>0</v>
      </c>
      <c r="G50" s="157">
        <f>'ROI - JAN.'!F47</f>
        <v>0</v>
      </c>
      <c r="H50" s="156"/>
    </row>
    <row r="51" spans="3:8" x14ac:dyDescent="0.2">
      <c r="C51" s="29"/>
      <c r="D51" s="159" t="s">
        <v>50</v>
      </c>
      <c r="E51" s="23"/>
      <c r="F51" s="154">
        <f>SUM(F52:F54)</f>
        <v>187630</v>
      </c>
      <c r="G51" s="154">
        <f>SUM(G52:G54)</f>
        <v>182370</v>
      </c>
      <c r="H51" s="154">
        <f>SUM(H52:H54)</f>
        <v>5260</v>
      </c>
    </row>
    <row r="52" spans="3:8" hidden="1" x14ac:dyDescent="0.2">
      <c r="C52" s="29"/>
      <c r="D52" s="155"/>
      <c r="E52" s="23" t="s">
        <v>51</v>
      </c>
      <c r="F52" s="156">
        <f>H52+G52</f>
        <v>0</v>
      </c>
      <c r="G52" s="157">
        <f>'ROI - JAN.'!F49</f>
        <v>0</v>
      </c>
      <c r="H52" s="156"/>
    </row>
    <row r="53" spans="3:8" x14ac:dyDescent="0.2">
      <c r="C53" s="29"/>
      <c r="D53" s="33"/>
      <c r="E53" s="23" t="s">
        <v>205</v>
      </c>
      <c r="F53" s="156">
        <f>SUM(G53:H53)</f>
        <v>27900</v>
      </c>
      <c r="G53" s="157">
        <f>'ROI - OCT'!F53</f>
        <v>25500</v>
      </c>
      <c r="H53" s="156">
        <v>2400</v>
      </c>
    </row>
    <row r="54" spans="3:8" x14ac:dyDescent="0.2">
      <c r="C54" s="29"/>
      <c r="D54" s="158"/>
      <c r="E54" s="23" t="s">
        <v>52</v>
      </c>
      <c r="F54" s="156">
        <f>SUM(G54:H54)</f>
        <v>159730</v>
      </c>
      <c r="G54" s="157">
        <f>'ROI - OCT'!F54</f>
        <v>156870</v>
      </c>
      <c r="H54" s="156">
        <v>2860</v>
      </c>
    </row>
    <row r="55" spans="3:8" x14ac:dyDescent="0.2">
      <c r="C55" s="29"/>
      <c r="D55" s="159" t="s">
        <v>53</v>
      </c>
      <c r="E55" s="23"/>
      <c r="F55" s="154">
        <v>0</v>
      </c>
      <c r="G55" s="23"/>
      <c r="H55" s="154">
        <v>0</v>
      </c>
    </row>
    <row r="56" spans="3:8" x14ac:dyDescent="0.2">
      <c r="C56" s="162"/>
      <c r="D56" s="159" t="s">
        <v>57</v>
      </c>
      <c r="E56" s="23"/>
      <c r="F56" s="154">
        <v>0</v>
      </c>
      <c r="G56" s="23"/>
      <c r="H56" s="154">
        <v>0</v>
      </c>
    </row>
    <row r="57" spans="3:8" x14ac:dyDescent="0.2">
      <c r="C57" s="154" t="s">
        <v>11</v>
      </c>
      <c r="D57" s="159"/>
      <c r="E57" s="23"/>
      <c r="F57" s="156">
        <f>F12+F13+F29+F45+F51+F55+F56</f>
        <v>4689883</v>
      </c>
      <c r="G57" s="156">
        <f>G12+G13+G29+G45+G51+G55+G56</f>
        <v>4494523</v>
      </c>
      <c r="H57" s="156">
        <f>H12+H13+H29+H45+H51+H55+H56</f>
        <v>195360</v>
      </c>
    </row>
    <row r="58" spans="3:8" x14ac:dyDescent="0.2">
      <c r="C58" s="154" t="s">
        <v>12</v>
      </c>
      <c r="D58" s="159"/>
      <c r="E58" s="23"/>
      <c r="F58" s="156"/>
      <c r="G58" s="23"/>
      <c r="H58" s="156"/>
    </row>
    <row r="59" spans="3:8" hidden="1" x14ac:dyDescent="0.2">
      <c r="C59" s="153"/>
      <c r="D59" s="159" t="s">
        <v>7</v>
      </c>
      <c r="E59" s="23"/>
      <c r="F59" s="156">
        <v>0</v>
      </c>
      <c r="G59" s="23"/>
      <c r="H59" s="156">
        <v>0</v>
      </c>
    </row>
    <row r="60" spans="3:8" hidden="1" x14ac:dyDescent="0.2">
      <c r="C60" s="29"/>
      <c r="D60" s="159" t="s">
        <v>21</v>
      </c>
      <c r="E60" s="23"/>
      <c r="F60" s="156">
        <v>0</v>
      </c>
      <c r="G60" s="23"/>
      <c r="H60" s="156">
        <v>0</v>
      </c>
    </row>
    <row r="61" spans="3:8" hidden="1" x14ac:dyDescent="0.2">
      <c r="C61" s="29"/>
      <c r="D61" s="159" t="s">
        <v>35</v>
      </c>
      <c r="E61" s="23"/>
      <c r="F61" s="156">
        <v>0</v>
      </c>
      <c r="G61" s="23"/>
      <c r="H61" s="156">
        <v>0</v>
      </c>
    </row>
    <row r="62" spans="3:8" hidden="1" x14ac:dyDescent="0.2">
      <c r="C62" s="29"/>
      <c r="D62" s="159" t="s">
        <v>10</v>
      </c>
      <c r="E62" s="23"/>
      <c r="F62" s="156">
        <v>0</v>
      </c>
      <c r="G62" s="23"/>
      <c r="H62" s="156">
        <v>0</v>
      </c>
    </row>
    <row r="63" spans="3:8" hidden="1" x14ac:dyDescent="0.2">
      <c r="C63" s="29"/>
      <c r="D63" s="159" t="s">
        <v>50</v>
      </c>
      <c r="E63" s="23"/>
      <c r="F63" s="156">
        <v>0</v>
      </c>
      <c r="G63" s="23"/>
      <c r="H63" s="156">
        <v>0</v>
      </c>
    </row>
    <row r="64" spans="3:8" hidden="1" x14ac:dyDescent="0.2">
      <c r="C64" s="29"/>
      <c r="D64" s="159" t="s">
        <v>53</v>
      </c>
      <c r="E64" s="23"/>
      <c r="F64" s="156">
        <v>0</v>
      </c>
      <c r="G64" s="23"/>
      <c r="H64" s="156">
        <v>0</v>
      </c>
    </row>
    <row r="65" spans="2:9" hidden="1" x14ac:dyDescent="0.2">
      <c r="C65" s="162"/>
      <c r="D65" s="159" t="s">
        <v>57</v>
      </c>
      <c r="E65" s="23"/>
      <c r="F65" s="156">
        <v>0</v>
      </c>
      <c r="G65" s="23"/>
      <c r="H65" s="156">
        <v>0</v>
      </c>
    </row>
    <row r="66" spans="2:9" x14ac:dyDescent="0.2">
      <c r="C66" s="154" t="s">
        <v>13</v>
      </c>
      <c r="D66" s="159"/>
      <c r="E66" s="159"/>
      <c r="F66" s="154">
        <f>SUM(F59:F65)</f>
        <v>0</v>
      </c>
      <c r="G66" s="23"/>
      <c r="H66" s="154">
        <f>SUM(H59:H65)</f>
        <v>0</v>
      </c>
    </row>
    <row r="67" spans="2:9" x14ac:dyDescent="0.2">
      <c r="C67" s="163" t="s">
        <v>14</v>
      </c>
      <c r="D67" s="164"/>
      <c r="E67" s="165"/>
      <c r="F67" s="166">
        <f>F57+F66</f>
        <v>4689883</v>
      </c>
      <c r="G67" s="166">
        <f>G57+G66</f>
        <v>4494523</v>
      </c>
      <c r="H67" s="166">
        <f>H57+H66</f>
        <v>195360</v>
      </c>
    </row>
    <row r="68" spans="2:9" x14ac:dyDescent="0.2">
      <c r="C68" s="160"/>
      <c r="D68" s="161"/>
      <c r="F68" s="6"/>
    </row>
    <row r="69" spans="2:9" x14ac:dyDescent="0.2">
      <c r="E69" s="161" t="s">
        <v>15</v>
      </c>
      <c r="G69" s="167"/>
      <c r="I69" s="167"/>
    </row>
    <row r="70" spans="2:9" s="161" customFormat="1" x14ac:dyDescent="0.2">
      <c r="B70" s="160"/>
      <c r="C70" s="5"/>
      <c r="D70" s="5"/>
      <c r="E70" s="5"/>
      <c r="F70" s="5"/>
      <c r="G70" s="167"/>
      <c r="H70" s="167"/>
    </row>
    <row r="71" spans="2:9" x14ac:dyDescent="0.2">
      <c r="E71" s="161" t="s">
        <v>7</v>
      </c>
      <c r="G71" s="161"/>
      <c r="H71" s="177"/>
    </row>
    <row r="72" spans="2:9" x14ac:dyDescent="0.2">
      <c r="E72" s="5" t="s">
        <v>54</v>
      </c>
      <c r="F72" s="167">
        <f>F12</f>
        <v>0</v>
      </c>
      <c r="G72" s="167"/>
      <c r="H72" s="167"/>
    </row>
    <row r="73" spans="2:9" x14ac:dyDescent="0.2">
      <c r="E73" s="5" t="s">
        <v>55</v>
      </c>
      <c r="F73" s="167">
        <f>F59</f>
        <v>0</v>
      </c>
    </row>
    <row r="74" spans="2:9" x14ac:dyDescent="0.2">
      <c r="E74" s="168" t="s">
        <v>56</v>
      </c>
      <c r="F74" s="169">
        <f>F72+F73</f>
        <v>0</v>
      </c>
    </row>
    <row r="75" spans="2:9" x14ac:dyDescent="0.2">
      <c r="E75" s="161" t="s">
        <v>21</v>
      </c>
      <c r="H75" s="167"/>
    </row>
    <row r="76" spans="2:9" x14ac:dyDescent="0.2">
      <c r="E76" s="5" t="s">
        <v>54</v>
      </c>
      <c r="F76" s="167">
        <f>F13</f>
        <v>1562190</v>
      </c>
    </row>
    <row r="77" spans="2:9" x14ac:dyDescent="0.2">
      <c r="E77" s="5" t="s">
        <v>55</v>
      </c>
      <c r="F77" s="167">
        <f>F60</f>
        <v>0</v>
      </c>
    </row>
    <row r="78" spans="2:9" x14ac:dyDescent="0.2">
      <c r="E78" s="168" t="s">
        <v>56</v>
      </c>
      <c r="F78" s="169">
        <f>F76+F77</f>
        <v>1562190</v>
      </c>
    </row>
    <row r="79" spans="2:9" x14ac:dyDescent="0.2">
      <c r="E79" s="161" t="s">
        <v>58</v>
      </c>
    </row>
    <row r="80" spans="2:9" x14ac:dyDescent="0.2">
      <c r="E80" s="5" t="s">
        <v>54</v>
      </c>
      <c r="F80" s="167">
        <f>F29</f>
        <v>2928310</v>
      </c>
    </row>
    <row r="81" spans="5:6" x14ac:dyDescent="0.2">
      <c r="E81" s="5" t="s">
        <v>55</v>
      </c>
      <c r="F81" s="167">
        <f>F61</f>
        <v>0</v>
      </c>
    </row>
    <row r="82" spans="5:6" x14ac:dyDescent="0.2">
      <c r="E82" s="168" t="s">
        <v>56</v>
      </c>
      <c r="F82" s="169">
        <f>F80+F81</f>
        <v>2928310</v>
      </c>
    </row>
    <row r="83" spans="5:6" x14ac:dyDescent="0.2">
      <c r="E83" s="161" t="s">
        <v>10</v>
      </c>
    </row>
    <row r="84" spans="5:6" x14ac:dyDescent="0.2">
      <c r="E84" s="5" t="s">
        <v>54</v>
      </c>
      <c r="F84" s="167">
        <f>F45</f>
        <v>11753</v>
      </c>
    </row>
    <row r="85" spans="5:6" x14ac:dyDescent="0.2">
      <c r="E85" s="5" t="s">
        <v>55</v>
      </c>
      <c r="F85" s="167">
        <f>F62</f>
        <v>0</v>
      </c>
    </row>
    <row r="86" spans="5:6" x14ac:dyDescent="0.2">
      <c r="E86" s="168" t="s">
        <v>56</v>
      </c>
      <c r="F86" s="169">
        <f>F84+F85</f>
        <v>11753</v>
      </c>
    </row>
    <row r="87" spans="5:6" x14ac:dyDescent="0.2">
      <c r="E87" s="161" t="s">
        <v>50</v>
      </c>
    </row>
    <row r="88" spans="5:6" x14ac:dyDescent="0.2">
      <c r="E88" s="5" t="s">
        <v>54</v>
      </c>
      <c r="F88" s="167">
        <f>F51</f>
        <v>187630</v>
      </c>
    </row>
    <row r="89" spans="5:6" x14ac:dyDescent="0.2">
      <c r="E89" s="5" t="s">
        <v>55</v>
      </c>
      <c r="F89" s="167">
        <f>F63</f>
        <v>0</v>
      </c>
    </row>
    <row r="90" spans="5:6" x14ac:dyDescent="0.2">
      <c r="E90" s="168" t="s">
        <v>56</v>
      </c>
      <c r="F90" s="169">
        <f>F88+F89</f>
        <v>187630</v>
      </c>
    </row>
    <row r="91" spans="5:6" hidden="1" x14ac:dyDescent="0.2">
      <c r="E91" s="161" t="s">
        <v>53</v>
      </c>
    </row>
    <row r="92" spans="5:6" hidden="1" x14ac:dyDescent="0.2">
      <c r="E92" s="5" t="s">
        <v>54</v>
      </c>
      <c r="F92" s="167">
        <f>F55</f>
        <v>0</v>
      </c>
    </row>
    <row r="93" spans="5:6" hidden="1" x14ac:dyDescent="0.2">
      <c r="E93" s="5" t="s">
        <v>55</v>
      </c>
      <c r="F93" s="167">
        <f>F64</f>
        <v>0</v>
      </c>
    </row>
    <row r="94" spans="5:6" hidden="1" x14ac:dyDescent="0.2">
      <c r="E94" s="168" t="s">
        <v>56</v>
      </c>
      <c r="F94" s="169">
        <f>F92+F93</f>
        <v>0</v>
      </c>
    </row>
    <row r="95" spans="5:6" hidden="1" x14ac:dyDescent="0.2">
      <c r="E95" s="161" t="s">
        <v>57</v>
      </c>
    </row>
    <row r="96" spans="5:6" hidden="1" x14ac:dyDescent="0.2">
      <c r="E96" s="5" t="s">
        <v>54</v>
      </c>
      <c r="F96" s="167">
        <f>F56</f>
        <v>0</v>
      </c>
    </row>
    <row r="97" spans="3:8" hidden="1" x14ac:dyDescent="0.2">
      <c r="E97" s="5" t="s">
        <v>55</v>
      </c>
      <c r="F97" s="167">
        <f>F65</f>
        <v>0</v>
      </c>
    </row>
    <row r="98" spans="3:8" x14ac:dyDescent="0.2">
      <c r="E98" s="168" t="s">
        <v>56</v>
      </c>
      <c r="F98" s="169">
        <f>F96+F97</f>
        <v>0</v>
      </c>
    </row>
    <row r="99" spans="3:8" ht="13.5" thickBot="1" x14ac:dyDescent="0.25">
      <c r="E99" s="161" t="s">
        <v>59</v>
      </c>
      <c r="F99" s="170">
        <f>F74+F78+F82+F86+F90+F94+F98</f>
        <v>4689883</v>
      </c>
    </row>
    <row r="100" spans="3:8" ht="13.5" thickTop="1" x14ac:dyDescent="0.2"/>
    <row r="102" spans="3:8" x14ac:dyDescent="0.2">
      <c r="C102" s="195"/>
      <c r="D102" s="195"/>
      <c r="E102" s="195"/>
      <c r="F102" s="195" t="s">
        <v>17</v>
      </c>
      <c r="G102" s="195"/>
      <c r="H102" s="195"/>
    </row>
    <row r="103" spans="3:8" x14ac:dyDescent="0.2">
      <c r="C103" s="161"/>
      <c r="F103" s="195"/>
      <c r="G103" s="195"/>
      <c r="H103" s="195"/>
    </row>
    <row r="104" spans="3:8" x14ac:dyDescent="0.2">
      <c r="C104" s="194"/>
      <c r="D104" s="194"/>
      <c r="E104" s="194"/>
    </row>
    <row r="105" spans="3:8" x14ac:dyDescent="0.2">
      <c r="C105" s="195"/>
      <c r="D105" s="195"/>
      <c r="E105" s="195"/>
      <c r="F105" s="172"/>
      <c r="G105" s="172" t="s">
        <v>197</v>
      </c>
      <c r="H105" s="172"/>
    </row>
    <row r="106" spans="3:8" x14ac:dyDescent="0.2">
      <c r="F106" s="195" t="s">
        <v>198</v>
      </c>
      <c r="G106" s="195"/>
      <c r="H106" s="195"/>
    </row>
  </sheetData>
  <mergeCells count="15">
    <mergeCell ref="C6:H6"/>
    <mergeCell ref="C1:H1"/>
    <mergeCell ref="C2:H2"/>
    <mergeCell ref="C3:H3"/>
    <mergeCell ref="C4:H4"/>
    <mergeCell ref="C5:H5"/>
    <mergeCell ref="C104:E104"/>
    <mergeCell ref="C105:E105"/>
    <mergeCell ref="F106:H106"/>
    <mergeCell ref="C7:H7"/>
    <mergeCell ref="C8:H8"/>
    <mergeCell ref="C10:D10"/>
    <mergeCell ref="C102:E102"/>
    <mergeCell ref="F102:H102"/>
    <mergeCell ref="F103:H103"/>
  </mergeCells>
  <pageMargins left="0.5" right="0.25" top="0.25" bottom="0.25" header="0.3" footer="0.3"/>
  <pageSetup paperSize="134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6"/>
  <sheetViews>
    <sheetView topLeftCell="B1" zoomScaleNormal="100" workbookViewId="0">
      <pane xSplit="4" ySplit="12" topLeftCell="F51" activePane="bottomRight" state="frozen"/>
      <selection activeCell="B1" sqref="B1"/>
      <selection pane="topRight" activeCell="F1" sqref="F1"/>
      <selection pane="bottomLeft" activeCell="B13" sqref="B13"/>
      <selection pane="bottomRight" activeCell="K56" sqref="K56"/>
    </sheetView>
  </sheetViews>
  <sheetFormatPr defaultRowHeight="12.75" x14ac:dyDescent="0.2"/>
  <cols>
    <col min="1" max="1" width="18.140625" style="5" hidden="1" customWidth="1"/>
    <col min="2" max="2" width="3.28515625" style="6" customWidth="1"/>
    <col min="3" max="3" width="5.140625" style="5" customWidth="1"/>
    <col min="4" max="4" width="5.85546875" style="5" customWidth="1"/>
    <col min="5" max="5" width="47.42578125" style="5" customWidth="1"/>
    <col min="6" max="6" width="16.28515625" style="5" customWidth="1"/>
    <col min="7" max="7" width="14.85546875" style="5" customWidth="1"/>
    <col min="8" max="8" width="16.5703125" style="5" customWidth="1"/>
    <col min="9" max="9" width="9.85546875" style="5" bestFit="1" customWidth="1"/>
    <col min="10" max="16384" width="9.140625" style="5"/>
  </cols>
  <sheetData>
    <row r="1" spans="3:10" x14ac:dyDescent="0.2">
      <c r="C1" s="195" t="s">
        <v>0</v>
      </c>
      <c r="D1" s="195"/>
      <c r="E1" s="195"/>
      <c r="F1" s="195"/>
      <c r="G1" s="195"/>
      <c r="H1" s="195"/>
    </row>
    <row r="2" spans="3:10" x14ac:dyDescent="0.2">
      <c r="C2" s="195" t="s">
        <v>1</v>
      </c>
      <c r="D2" s="195"/>
      <c r="E2" s="195"/>
      <c r="F2" s="195"/>
      <c r="G2" s="195"/>
      <c r="H2" s="195"/>
    </row>
    <row r="3" spans="3:10" x14ac:dyDescent="0.2">
      <c r="C3" s="195"/>
      <c r="D3" s="195"/>
      <c r="E3" s="195"/>
      <c r="F3" s="195"/>
      <c r="G3" s="195"/>
      <c r="H3" s="195"/>
    </row>
    <row r="4" spans="3:10" x14ac:dyDescent="0.2">
      <c r="C4" s="194" t="s">
        <v>2</v>
      </c>
      <c r="D4" s="194"/>
      <c r="E4" s="194"/>
      <c r="F4" s="194"/>
      <c r="G4" s="194"/>
      <c r="H4" s="194"/>
    </row>
    <row r="5" spans="3:10" x14ac:dyDescent="0.2">
      <c r="C5" s="195" t="s">
        <v>207</v>
      </c>
      <c r="D5" s="195"/>
      <c r="E5" s="195"/>
      <c r="F5" s="195"/>
      <c r="G5" s="195"/>
      <c r="H5" s="195"/>
    </row>
    <row r="6" spans="3:10" x14ac:dyDescent="0.2">
      <c r="C6" s="195"/>
      <c r="D6" s="195"/>
      <c r="E6" s="195"/>
      <c r="F6" s="195"/>
      <c r="G6" s="195"/>
      <c r="H6" s="195"/>
    </row>
    <row r="7" spans="3:10" x14ac:dyDescent="0.2">
      <c r="C7" s="194" t="s">
        <v>209</v>
      </c>
      <c r="D7" s="194"/>
      <c r="E7" s="194"/>
      <c r="F7" s="194"/>
      <c r="G7" s="194"/>
      <c r="H7" s="194"/>
    </row>
    <row r="8" spans="3:10" x14ac:dyDescent="0.2">
      <c r="C8" s="195" t="s">
        <v>271</v>
      </c>
      <c r="D8" s="195"/>
      <c r="E8" s="195"/>
      <c r="F8" s="195"/>
      <c r="G8" s="195"/>
      <c r="H8" s="195"/>
    </row>
    <row r="10" spans="3:10" ht="38.25" x14ac:dyDescent="0.2">
      <c r="C10" s="196" t="s">
        <v>3</v>
      </c>
      <c r="D10" s="196"/>
      <c r="E10" s="183" t="s">
        <v>4</v>
      </c>
      <c r="F10" s="183" t="s">
        <v>274</v>
      </c>
      <c r="G10" s="183" t="s">
        <v>273</v>
      </c>
      <c r="H10" s="183" t="s">
        <v>272</v>
      </c>
      <c r="I10" s="148"/>
      <c r="J10" s="148"/>
    </row>
    <row r="11" spans="3:10" x14ac:dyDescent="0.2">
      <c r="C11" s="149" t="s">
        <v>6</v>
      </c>
      <c r="D11" s="150"/>
      <c r="E11" s="151"/>
      <c r="F11" s="152"/>
      <c r="G11" s="151"/>
      <c r="H11" s="151"/>
    </row>
    <row r="12" spans="3:10" x14ac:dyDescent="0.2">
      <c r="C12" s="153"/>
      <c r="D12" s="154" t="s">
        <v>7</v>
      </c>
      <c r="E12" s="23"/>
      <c r="F12" s="154">
        <v>0</v>
      </c>
      <c r="G12" s="23"/>
      <c r="H12" s="154">
        <v>0</v>
      </c>
    </row>
    <row r="13" spans="3:10" x14ac:dyDescent="0.2">
      <c r="C13" s="29"/>
      <c r="D13" s="154" t="s">
        <v>21</v>
      </c>
      <c r="E13" s="23"/>
      <c r="F13" s="154">
        <f>SUM(F14:F28)</f>
        <v>1722590</v>
      </c>
      <c r="G13" s="154">
        <f>SUM(G14:G28)</f>
        <v>1562190</v>
      </c>
      <c r="H13" s="154">
        <f>SUM(H14:H28)</f>
        <v>160400</v>
      </c>
      <c r="I13" s="167"/>
    </row>
    <row r="14" spans="3:10" x14ac:dyDescent="0.2">
      <c r="C14" s="29"/>
      <c r="D14" s="155"/>
      <c r="E14" s="171" t="s">
        <v>8</v>
      </c>
      <c r="F14" s="156">
        <f>SUM(G14:H14)</f>
        <v>27000</v>
      </c>
      <c r="G14" s="157">
        <f>'ROI - NOV'!F14</f>
        <v>27000</v>
      </c>
      <c r="H14" s="156"/>
    </row>
    <row r="15" spans="3:10" hidden="1" x14ac:dyDescent="0.2">
      <c r="C15" s="29"/>
      <c r="D15" s="33"/>
      <c r="E15" s="171" t="s">
        <v>22</v>
      </c>
      <c r="F15" s="156">
        <f t="shared" ref="F15:F50" si="0">SUM(G15:H15)</f>
        <v>0</v>
      </c>
      <c r="G15" s="157">
        <f>'ROI - JAN.'!F15</f>
        <v>0</v>
      </c>
      <c r="H15" s="156"/>
    </row>
    <row r="16" spans="3:10" x14ac:dyDescent="0.2">
      <c r="C16" s="29"/>
      <c r="D16" s="33"/>
      <c r="E16" s="171" t="s">
        <v>23</v>
      </c>
      <c r="F16" s="156">
        <f>SUM(G16:H16)</f>
        <v>924570</v>
      </c>
      <c r="G16" s="157">
        <f>'ROI - NOV'!F16</f>
        <v>816570</v>
      </c>
      <c r="H16" s="156">
        <v>108000</v>
      </c>
    </row>
    <row r="17" spans="3:9" hidden="1" x14ac:dyDescent="0.2">
      <c r="C17" s="29"/>
      <c r="D17" s="33"/>
      <c r="E17" s="171" t="s">
        <v>24</v>
      </c>
      <c r="F17" s="156">
        <f t="shared" si="0"/>
        <v>0</v>
      </c>
      <c r="G17" s="157">
        <f>'ROI - NOV'!F17</f>
        <v>0</v>
      </c>
      <c r="H17" s="156"/>
    </row>
    <row r="18" spans="3:9" x14ac:dyDescent="0.2">
      <c r="C18" s="29"/>
      <c r="D18" s="33"/>
      <c r="E18" s="171" t="s">
        <v>25</v>
      </c>
      <c r="F18" s="156">
        <f t="shared" si="0"/>
        <v>22000</v>
      </c>
      <c r="G18" s="157">
        <f>'ROI - NOV'!F18</f>
        <v>22000</v>
      </c>
      <c r="H18" s="156"/>
    </row>
    <row r="19" spans="3:9" hidden="1" x14ac:dyDescent="0.2">
      <c r="C19" s="29"/>
      <c r="D19" s="33"/>
      <c r="E19" s="171" t="s">
        <v>26</v>
      </c>
      <c r="F19" s="156">
        <f t="shared" si="0"/>
        <v>0</v>
      </c>
      <c r="G19" s="157">
        <f>'ROI - NOV'!F19</f>
        <v>0</v>
      </c>
      <c r="H19" s="156"/>
    </row>
    <row r="20" spans="3:9" x14ac:dyDescent="0.2">
      <c r="C20" s="29"/>
      <c r="D20" s="33"/>
      <c r="E20" s="171" t="s">
        <v>27</v>
      </c>
      <c r="F20" s="156">
        <f t="shared" si="0"/>
        <v>120000</v>
      </c>
      <c r="G20" s="157">
        <f>'ROI - NOV'!F20</f>
        <v>120000</v>
      </c>
      <c r="H20" s="156"/>
    </row>
    <row r="21" spans="3:9" x14ac:dyDescent="0.2">
      <c r="C21" s="29"/>
      <c r="D21" s="33"/>
      <c r="E21" s="171" t="s">
        <v>225</v>
      </c>
      <c r="F21" s="156">
        <f>SUM(G21:H21)</f>
        <v>236000</v>
      </c>
      <c r="G21" s="157">
        <f>'ROI - NOV'!F21</f>
        <v>215000</v>
      </c>
      <c r="H21" s="156">
        <v>21000</v>
      </c>
    </row>
    <row r="22" spans="3:9" hidden="1" x14ac:dyDescent="0.2">
      <c r="C22" s="29"/>
      <c r="D22" s="33"/>
      <c r="E22" s="171" t="s">
        <v>30</v>
      </c>
      <c r="F22" s="156">
        <f t="shared" si="0"/>
        <v>0</v>
      </c>
      <c r="G22" s="157">
        <f>'ROI - NOV'!F22</f>
        <v>0</v>
      </c>
      <c r="H22" s="156"/>
    </row>
    <row r="23" spans="3:9" x14ac:dyDescent="0.2">
      <c r="C23" s="29"/>
      <c r="D23" s="33"/>
      <c r="E23" s="171" t="s">
        <v>31</v>
      </c>
      <c r="F23" s="156">
        <f>SUM(G23:H23)</f>
        <v>270200</v>
      </c>
      <c r="G23" s="157">
        <f>'ROI - NOV'!F23</f>
        <v>243800</v>
      </c>
      <c r="H23" s="156">
        <v>26400</v>
      </c>
    </row>
    <row r="24" spans="3:9" hidden="1" x14ac:dyDescent="0.2">
      <c r="C24" s="29"/>
      <c r="D24" s="33"/>
      <c r="E24" s="171" t="s">
        <v>32</v>
      </c>
      <c r="F24" s="156">
        <f t="shared" si="0"/>
        <v>0</v>
      </c>
      <c r="G24" s="157">
        <f>'ROI - NOV'!F24</f>
        <v>0</v>
      </c>
      <c r="H24" s="156"/>
    </row>
    <row r="25" spans="3:9" hidden="1" x14ac:dyDescent="0.2">
      <c r="C25" s="29"/>
      <c r="D25" s="33"/>
      <c r="E25" s="171" t="s">
        <v>33</v>
      </c>
      <c r="F25" s="156">
        <f t="shared" si="0"/>
        <v>0</v>
      </c>
      <c r="G25" s="157">
        <f>'ROI - NOV'!F25</f>
        <v>0</v>
      </c>
      <c r="H25" s="156"/>
    </row>
    <row r="26" spans="3:9" x14ac:dyDescent="0.2">
      <c r="C26" s="29"/>
      <c r="D26" s="33"/>
      <c r="E26" s="171" t="s">
        <v>194</v>
      </c>
      <c r="F26" s="156">
        <f>SUM(G26:H26)</f>
        <v>49620</v>
      </c>
      <c r="G26" s="157">
        <f>'ROI - NOV'!F26</f>
        <v>47620</v>
      </c>
      <c r="H26" s="156">
        <v>2000</v>
      </c>
    </row>
    <row r="27" spans="3:9" x14ac:dyDescent="0.2">
      <c r="C27" s="29"/>
      <c r="D27" s="158"/>
      <c r="E27" s="171" t="s">
        <v>34</v>
      </c>
      <c r="F27" s="156">
        <f t="shared" si="0"/>
        <v>0</v>
      </c>
      <c r="G27" s="157">
        <f>'ROI - NOV'!F27</f>
        <v>0</v>
      </c>
      <c r="H27" s="156"/>
    </row>
    <row r="28" spans="3:9" x14ac:dyDescent="0.2">
      <c r="C28" s="29"/>
      <c r="D28" s="158"/>
      <c r="E28" s="171" t="s">
        <v>214</v>
      </c>
      <c r="F28" s="156">
        <f>SUM(G28:H28)</f>
        <v>73200</v>
      </c>
      <c r="G28" s="157">
        <f>'ROI - NOV'!F28</f>
        <v>70200</v>
      </c>
      <c r="H28" s="156">
        <v>3000</v>
      </c>
    </row>
    <row r="29" spans="3:9" x14ac:dyDescent="0.2">
      <c r="C29" s="29"/>
      <c r="D29" s="159" t="s">
        <v>35</v>
      </c>
      <c r="E29" s="171"/>
      <c r="F29" s="154">
        <f>SUM(F30:F44)</f>
        <v>3213710</v>
      </c>
      <c r="G29" s="154">
        <f>SUM(G30:G44)</f>
        <v>2928310</v>
      </c>
      <c r="H29" s="154">
        <f>SUM(H30:H44)</f>
        <v>285400</v>
      </c>
      <c r="I29" s="167"/>
    </row>
    <row r="30" spans="3:9" hidden="1" x14ac:dyDescent="0.2">
      <c r="C30" s="29"/>
      <c r="D30" s="155"/>
      <c r="E30" s="171" t="s">
        <v>36</v>
      </c>
      <c r="F30" s="156">
        <f t="shared" si="0"/>
        <v>0</v>
      </c>
      <c r="G30" s="157">
        <f>'ROI - JAN.'!F30</f>
        <v>0</v>
      </c>
      <c r="H30" s="156"/>
    </row>
    <row r="31" spans="3:9" hidden="1" x14ac:dyDescent="0.2">
      <c r="C31" s="29"/>
      <c r="D31" s="33"/>
      <c r="E31" s="171" t="s">
        <v>37</v>
      </c>
      <c r="F31" s="156">
        <f t="shared" si="0"/>
        <v>0</v>
      </c>
      <c r="G31" s="157">
        <f>'ROI - JAN.'!F31</f>
        <v>0</v>
      </c>
      <c r="H31" s="156"/>
    </row>
    <row r="32" spans="3:9" hidden="1" x14ac:dyDescent="0.2">
      <c r="C32" s="29"/>
      <c r="D32" s="33"/>
      <c r="E32" s="171" t="s">
        <v>38</v>
      </c>
      <c r="F32" s="156">
        <f t="shared" si="0"/>
        <v>0</v>
      </c>
      <c r="G32" s="157">
        <f>'ROI - JAN.'!F32</f>
        <v>0</v>
      </c>
      <c r="H32" s="156"/>
    </row>
    <row r="33" spans="2:8" hidden="1" x14ac:dyDescent="0.2">
      <c r="C33" s="29"/>
      <c r="D33" s="33"/>
      <c r="E33" s="171" t="s">
        <v>39</v>
      </c>
      <c r="F33" s="156">
        <f t="shared" si="0"/>
        <v>0</v>
      </c>
      <c r="G33" s="157">
        <f>'ROI - MAR'!F33</f>
        <v>0</v>
      </c>
      <c r="H33" s="156"/>
    </row>
    <row r="34" spans="2:8" x14ac:dyDescent="0.2">
      <c r="C34" s="29"/>
      <c r="D34" s="33"/>
      <c r="E34" s="171" t="s">
        <v>40</v>
      </c>
      <c r="F34" s="156">
        <f>SUM(G34:H34)</f>
        <v>147240</v>
      </c>
      <c r="G34" s="157">
        <f>'ROI - NOV'!F34</f>
        <v>139240</v>
      </c>
      <c r="H34" s="156">
        <f>7000+1000</f>
        <v>8000</v>
      </c>
    </row>
    <row r="35" spans="2:8" x14ac:dyDescent="0.2">
      <c r="C35" s="29"/>
      <c r="D35" s="33"/>
      <c r="E35" s="171" t="s">
        <v>41</v>
      </c>
      <c r="F35" s="156">
        <f>SUM(G35:H35)</f>
        <v>272000</v>
      </c>
      <c r="G35" s="157">
        <f>'ROI - NOV'!F35</f>
        <v>246000</v>
      </c>
      <c r="H35" s="156">
        <v>26000</v>
      </c>
    </row>
    <row r="36" spans="2:8" s="161" customFormat="1" x14ac:dyDescent="0.2">
      <c r="B36" s="160"/>
      <c r="C36" s="29"/>
      <c r="D36" s="33"/>
      <c r="E36" s="171" t="s">
        <v>42</v>
      </c>
      <c r="F36" s="156">
        <f t="shared" si="0"/>
        <v>6000</v>
      </c>
      <c r="G36" s="157">
        <f>'ROI - NOV'!F36</f>
        <v>6000</v>
      </c>
      <c r="H36" s="156"/>
    </row>
    <row r="37" spans="2:8" x14ac:dyDescent="0.2">
      <c r="C37" s="29"/>
      <c r="D37" s="33"/>
      <c r="E37" s="171" t="s">
        <v>43</v>
      </c>
      <c r="F37" s="156">
        <f t="shared" si="0"/>
        <v>0</v>
      </c>
      <c r="G37" s="157">
        <f>'ROI - NOV'!F37</f>
        <v>0</v>
      </c>
      <c r="H37" s="156"/>
    </row>
    <row r="38" spans="2:8" x14ac:dyDescent="0.2">
      <c r="C38" s="29"/>
      <c r="D38" s="33"/>
      <c r="E38" s="171" t="s">
        <v>44</v>
      </c>
      <c r="F38" s="156">
        <f t="shared" si="0"/>
        <v>18000</v>
      </c>
      <c r="G38" s="157">
        <f>'ROI - NOV'!F38</f>
        <v>18000</v>
      </c>
      <c r="H38" s="156"/>
    </row>
    <row r="39" spans="2:8" ht="12" customHeight="1" x14ac:dyDescent="0.2">
      <c r="C39" s="29"/>
      <c r="D39" s="33"/>
      <c r="E39" s="171" t="s">
        <v>45</v>
      </c>
      <c r="F39" s="156">
        <f t="shared" si="0"/>
        <v>423030</v>
      </c>
      <c r="G39" s="157">
        <f>'ROI - NOV'!F39</f>
        <v>393030</v>
      </c>
      <c r="H39" s="156">
        <v>30000</v>
      </c>
    </row>
    <row r="40" spans="2:8" x14ac:dyDescent="0.2">
      <c r="C40" s="29"/>
      <c r="D40" s="158"/>
      <c r="E40" s="171" t="s">
        <v>199</v>
      </c>
      <c r="F40" s="156">
        <f t="shared" si="0"/>
        <v>264000</v>
      </c>
      <c r="G40" s="157">
        <f>'ROI - NOV'!F40</f>
        <v>240600</v>
      </c>
      <c r="H40" s="156">
        <v>23400</v>
      </c>
    </row>
    <row r="41" spans="2:8" x14ac:dyDescent="0.2">
      <c r="C41" s="29"/>
      <c r="D41" s="158"/>
      <c r="E41" s="171" t="s">
        <v>213</v>
      </c>
      <c r="F41" s="156">
        <f t="shared" si="0"/>
        <v>1975440</v>
      </c>
      <c r="G41" s="157">
        <f>'ROI - NOV'!F41</f>
        <v>1783440</v>
      </c>
      <c r="H41" s="156">
        <v>192000</v>
      </c>
    </row>
    <row r="42" spans="2:8" x14ac:dyDescent="0.2">
      <c r="C42" s="29"/>
      <c r="D42" s="158"/>
      <c r="E42" s="171" t="s">
        <v>220</v>
      </c>
      <c r="F42" s="156">
        <f t="shared" si="0"/>
        <v>24000</v>
      </c>
      <c r="G42" s="157">
        <f>'ROI - NOV'!F42</f>
        <v>24000</v>
      </c>
      <c r="H42" s="156"/>
    </row>
    <row r="43" spans="2:8" x14ac:dyDescent="0.2">
      <c r="C43" s="29"/>
      <c r="D43" s="158"/>
      <c r="E43" s="171" t="s">
        <v>224</v>
      </c>
      <c r="F43" s="156">
        <f t="shared" si="0"/>
        <v>66000</v>
      </c>
      <c r="G43" s="157">
        <f>'ROI - NOV'!F43</f>
        <v>66000</v>
      </c>
      <c r="H43" s="156"/>
    </row>
    <row r="44" spans="2:8" x14ac:dyDescent="0.2">
      <c r="C44" s="29"/>
      <c r="D44" s="158"/>
      <c r="E44" s="171" t="s">
        <v>246</v>
      </c>
      <c r="F44" s="156">
        <f t="shared" si="0"/>
        <v>18000</v>
      </c>
      <c r="G44" s="157">
        <f>'ROI - NOV'!F44</f>
        <v>12000</v>
      </c>
      <c r="H44" s="156">
        <v>6000</v>
      </c>
    </row>
    <row r="45" spans="2:8" x14ac:dyDescent="0.2">
      <c r="C45" s="29"/>
      <c r="D45" s="159" t="s">
        <v>10</v>
      </c>
      <c r="E45" s="23"/>
      <c r="F45" s="154">
        <f>SUM(F46:F50)</f>
        <v>11753</v>
      </c>
      <c r="G45" s="154">
        <f>SUM(G46:G50)</f>
        <v>11753</v>
      </c>
      <c r="H45" s="154">
        <f>SUM(H46:H50)</f>
        <v>0</v>
      </c>
    </row>
    <row r="46" spans="2:8" hidden="1" x14ac:dyDescent="0.2">
      <c r="C46" s="29"/>
      <c r="D46" s="155"/>
      <c r="E46" s="23" t="s">
        <v>116</v>
      </c>
      <c r="F46" s="156">
        <f t="shared" si="0"/>
        <v>0</v>
      </c>
      <c r="G46" s="157">
        <f>'ROI - JAN.'!F43</f>
        <v>0</v>
      </c>
      <c r="H46" s="154"/>
    </row>
    <row r="47" spans="2:8" s="161" customFormat="1" x14ac:dyDescent="0.2">
      <c r="B47" s="160"/>
      <c r="C47" s="29"/>
      <c r="D47" s="155"/>
      <c r="E47" s="23" t="s">
        <v>46</v>
      </c>
      <c r="F47" s="156">
        <f>SUM(G47:H47)</f>
        <v>753</v>
      </c>
      <c r="G47" s="157">
        <f>'ROI - NOV'!F47</f>
        <v>753</v>
      </c>
      <c r="H47" s="156"/>
    </row>
    <row r="48" spans="2:8" x14ac:dyDescent="0.2">
      <c r="C48" s="29"/>
      <c r="D48" s="33"/>
      <c r="E48" s="23" t="s">
        <v>231</v>
      </c>
      <c r="F48" s="156">
        <f>SUM(G48:H48)</f>
        <v>11000</v>
      </c>
      <c r="G48" s="157">
        <f>'ROI - NOV'!F48</f>
        <v>11000</v>
      </c>
      <c r="H48" s="156"/>
    </row>
    <row r="49" spans="3:8" hidden="1" x14ac:dyDescent="0.2">
      <c r="C49" s="29"/>
      <c r="D49" s="33"/>
      <c r="E49" s="23" t="s">
        <v>48</v>
      </c>
      <c r="F49" s="156">
        <f t="shared" si="0"/>
        <v>0</v>
      </c>
      <c r="G49" s="157">
        <f>'ROI - JAN.'!F46</f>
        <v>0</v>
      </c>
      <c r="H49" s="156"/>
    </row>
    <row r="50" spans="3:8" hidden="1" x14ac:dyDescent="0.2">
      <c r="C50" s="29"/>
      <c r="D50" s="158"/>
      <c r="E50" s="23" t="s">
        <v>49</v>
      </c>
      <c r="F50" s="156">
        <f t="shared" si="0"/>
        <v>0</v>
      </c>
      <c r="G50" s="157">
        <f>'ROI - JAN.'!F47</f>
        <v>0</v>
      </c>
      <c r="H50" s="156"/>
    </row>
    <row r="51" spans="3:8" x14ac:dyDescent="0.2">
      <c r="C51" s="29"/>
      <c r="D51" s="159" t="s">
        <v>50</v>
      </c>
      <c r="E51" s="23"/>
      <c r="F51" s="154">
        <f>SUM(F52:F54)</f>
        <v>201185</v>
      </c>
      <c r="G51" s="154">
        <f>SUM(G52:G54)</f>
        <v>187630</v>
      </c>
      <c r="H51" s="154">
        <f>SUM(H52:H54)</f>
        <v>13555</v>
      </c>
    </row>
    <row r="52" spans="3:8" hidden="1" x14ac:dyDescent="0.2">
      <c r="C52" s="29"/>
      <c r="D52" s="155"/>
      <c r="E52" s="23" t="s">
        <v>51</v>
      </c>
      <c r="F52" s="156">
        <f>H52+G52</f>
        <v>0</v>
      </c>
      <c r="G52" s="157">
        <f>'ROI - JAN.'!F49</f>
        <v>0</v>
      </c>
      <c r="H52" s="156"/>
    </row>
    <row r="53" spans="3:8" x14ac:dyDescent="0.2">
      <c r="C53" s="29"/>
      <c r="D53" s="33"/>
      <c r="E53" s="23" t="s">
        <v>205</v>
      </c>
      <c r="F53" s="156">
        <f>SUM(G53:H53)</f>
        <v>30300</v>
      </c>
      <c r="G53" s="157">
        <f>'ROI - NOV'!F53</f>
        <v>27900</v>
      </c>
      <c r="H53" s="156">
        <v>2400</v>
      </c>
    </row>
    <row r="54" spans="3:8" x14ac:dyDescent="0.2">
      <c r="C54" s="29"/>
      <c r="D54" s="158"/>
      <c r="E54" s="23" t="s">
        <v>52</v>
      </c>
      <c r="F54" s="156">
        <f>SUM(G54:H54)</f>
        <v>170885</v>
      </c>
      <c r="G54" s="157">
        <f>'ROI - NOV'!F54</f>
        <v>159730</v>
      </c>
      <c r="H54" s="156">
        <v>11155</v>
      </c>
    </row>
    <row r="55" spans="3:8" x14ac:dyDescent="0.2">
      <c r="C55" s="29"/>
      <c r="D55" s="159" t="s">
        <v>53</v>
      </c>
      <c r="E55" s="23"/>
      <c r="F55" s="154">
        <v>0</v>
      </c>
      <c r="G55" s="23"/>
      <c r="H55" s="154">
        <v>0</v>
      </c>
    </row>
    <row r="56" spans="3:8" x14ac:dyDescent="0.2">
      <c r="C56" s="162"/>
      <c r="D56" s="159" t="s">
        <v>57</v>
      </c>
      <c r="E56" s="23"/>
      <c r="F56" s="154">
        <v>0</v>
      </c>
      <c r="G56" s="23"/>
      <c r="H56" s="154">
        <v>0</v>
      </c>
    </row>
    <row r="57" spans="3:8" x14ac:dyDescent="0.2">
      <c r="C57" s="154" t="s">
        <v>11</v>
      </c>
      <c r="D57" s="159"/>
      <c r="E57" s="23"/>
      <c r="F57" s="156">
        <f>F12+F13+F29+F45+F51+F55+F56</f>
        <v>5149238</v>
      </c>
      <c r="G57" s="156">
        <f>G12+G13+G29+G45+G51+G55+G56</f>
        <v>4689883</v>
      </c>
      <c r="H57" s="156">
        <f>H12+H13+H29+H45+H51+H55+H56</f>
        <v>459355</v>
      </c>
    </row>
    <row r="58" spans="3:8" x14ac:dyDescent="0.2">
      <c r="C58" s="154" t="s">
        <v>12</v>
      </c>
      <c r="D58" s="159"/>
      <c r="E58" s="23"/>
      <c r="F58" s="156"/>
      <c r="G58" s="23"/>
      <c r="H58" s="156"/>
    </row>
    <row r="59" spans="3:8" hidden="1" x14ac:dyDescent="0.2">
      <c r="C59" s="153"/>
      <c r="D59" s="159" t="s">
        <v>7</v>
      </c>
      <c r="E59" s="23"/>
      <c r="F59" s="156">
        <v>0</v>
      </c>
      <c r="G59" s="23"/>
      <c r="H59" s="156">
        <v>0</v>
      </c>
    </row>
    <row r="60" spans="3:8" hidden="1" x14ac:dyDescent="0.2">
      <c r="C60" s="29"/>
      <c r="D60" s="159" t="s">
        <v>21</v>
      </c>
      <c r="E60" s="23"/>
      <c r="F60" s="156">
        <v>0</v>
      </c>
      <c r="G60" s="23"/>
      <c r="H60" s="156">
        <v>0</v>
      </c>
    </row>
    <row r="61" spans="3:8" hidden="1" x14ac:dyDescent="0.2">
      <c r="C61" s="29"/>
      <c r="D61" s="159" t="s">
        <v>35</v>
      </c>
      <c r="E61" s="23"/>
      <c r="F61" s="156">
        <v>0</v>
      </c>
      <c r="G61" s="23"/>
      <c r="H61" s="156">
        <v>0</v>
      </c>
    </row>
    <row r="62" spans="3:8" hidden="1" x14ac:dyDescent="0.2">
      <c r="C62" s="29"/>
      <c r="D62" s="159" t="s">
        <v>10</v>
      </c>
      <c r="E62" s="23"/>
      <c r="F62" s="156">
        <v>0</v>
      </c>
      <c r="G62" s="23"/>
      <c r="H62" s="156">
        <v>0</v>
      </c>
    </row>
    <row r="63" spans="3:8" hidden="1" x14ac:dyDescent="0.2">
      <c r="C63" s="29"/>
      <c r="D63" s="159" t="s">
        <v>50</v>
      </c>
      <c r="E63" s="23"/>
      <c r="F63" s="156">
        <v>0</v>
      </c>
      <c r="G63" s="23"/>
      <c r="H63" s="156">
        <v>0</v>
      </c>
    </row>
    <row r="64" spans="3:8" hidden="1" x14ac:dyDescent="0.2">
      <c r="C64" s="29"/>
      <c r="D64" s="159" t="s">
        <v>53</v>
      </c>
      <c r="E64" s="23"/>
      <c r="F64" s="156">
        <v>0</v>
      </c>
      <c r="G64" s="23"/>
      <c r="H64" s="156">
        <v>0</v>
      </c>
    </row>
    <row r="65" spans="2:9" hidden="1" x14ac:dyDescent="0.2">
      <c r="C65" s="162"/>
      <c r="D65" s="159" t="s">
        <v>57</v>
      </c>
      <c r="E65" s="23"/>
      <c r="F65" s="156">
        <v>0</v>
      </c>
      <c r="G65" s="23"/>
      <c r="H65" s="156">
        <v>0</v>
      </c>
    </row>
    <row r="66" spans="2:9" x14ac:dyDescent="0.2">
      <c r="C66" s="154" t="s">
        <v>13</v>
      </c>
      <c r="D66" s="159"/>
      <c r="E66" s="159"/>
      <c r="F66" s="154">
        <f>SUM(F59:F65)</f>
        <v>0</v>
      </c>
      <c r="G66" s="23"/>
      <c r="H66" s="154">
        <f>SUM(H59:H65)</f>
        <v>0</v>
      </c>
    </row>
    <row r="67" spans="2:9" x14ac:dyDescent="0.2">
      <c r="C67" s="163" t="s">
        <v>14</v>
      </c>
      <c r="D67" s="164"/>
      <c r="E67" s="165"/>
      <c r="F67" s="166">
        <f>F57+F66</f>
        <v>5149238</v>
      </c>
      <c r="G67" s="166">
        <f>G57+G66</f>
        <v>4689883</v>
      </c>
      <c r="H67" s="166">
        <f>H57+H66</f>
        <v>459355</v>
      </c>
    </row>
    <row r="68" spans="2:9" x14ac:dyDescent="0.2">
      <c r="C68" s="160"/>
      <c r="D68" s="161"/>
      <c r="F68" s="6"/>
    </row>
    <row r="69" spans="2:9" x14ac:dyDescent="0.2">
      <c r="E69" s="161" t="s">
        <v>15</v>
      </c>
      <c r="F69" s="167"/>
      <c r="G69" s="167"/>
      <c r="I69" s="167"/>
    </row>
    <row r="70" spans="2:9" s="161" customFormat="1" x14ac:dyDescent="0.2">
      <c r="B70" s="160"/>
      <c r="C70" s="5"/>
      <c r="D70" s="5"/>
      <c r="E70" s="5"/>
      <c r="F70" s="5"/>
      <c r="G70" s="167"/>
      <c r="H70" s="167"/>
    </row>
    <row r="71" spans="2:9" x14ac:dyDescent="0.2">
      <c r="E71" s="161" t="s">
        <v>7</v>
      </c>
      <c r="G71" s="161"/>
      <c r="H71" s="177"/>
    </row>
    <row r="72" spans="2:9" x14ac:dyDescent="0.2">
      <c r="E72" s="5" t="s">
        <v>54</v>
      </c>
      <c r="F72" s="167">
        <f>F12</f>
        <v>0</v>
      </c>
      <c r="G72" s="167"/>
      <c r="H72" s="167"/>
    </row>
    <row r="73" spans="2:9" x14ac:dyDescent="0.2">
      <c r="E73" s="5" t="s">
        <v>55</v>
      </c>
      <c r="F73" s="167">
        <f>F59</f>
        <v>0</v>
      </c>
    </row>
    <row r="74" spans="2:9" x14ac:dyDescent="0.2">
      <c r="E74" s="168" t="s">
        <v>56</v>
      </c>
      <c r="F74" s="169">
        <f>F72+F73</f>
        <v>0</v>
      </c>
    </row>
    <row r="75" spans="2:9" x14ac:dyDescent="0.2">
      <c r="E75" s="161" t="s">
        <v>21</v>
      </c>
      <c r="H75" s="167"/>
    </row>
    <row r="76" spans="2:9" x14ac:dyDescent="0.2">
      <c r="E76" s="5" t="s">
        <v>54</v>
      </c>
      <c r="F76" s="167">
        <f>F13</f>
        <v>1722590</v>
      </c>
    </row>
    <row r="77" spans="2:9" x14ac:dyDescent="0.2">
      <c r="E77" s="5" t="s">
        <v>55</v>
      </c>
      <c r="F77" s="167">
        <f>F60</f>
        <v>0</v>
      </c>
    </row>
    <row r="78" spans="2:9" x14ac:dyDescent="0.2">
      <c r="E78" s="168" t="s">
        <v>56</v>
      </c>
      <c r="F78" s="169">
        <f>F76+F77</f>
        <v>1722590</v>
      </c>
    </row>
    <row r="79" spans="2:9" x14ac:dyDescent="0.2">
      <c r="E79" s="161" t="s">
        <v>58</v>
      </c>
    </row>
    <row r="80" spans="2:9" x14ac:dyDescent="0.2">
      <c r="E80" s="5" t="s">
        <v>54</v>
      </c>
      <c r="F80" s="167">
        <f>F29</f>
        <v>3213710</v>
      </c>
    </row>
    <row r="81" spans="5:6" x14ac:dyDescent="0.2">
      <c r="E81" s="5" t="s">
        <v>55</v>
      </c>
      <c r="F81" s="167">
        <f>F61</f>
        <v>0</v>
      </c>
    </row>
    <row r="82" spans="5:6" x14ac:dyDescent="0.2">
      <c r="E82" s="168" t="s">
        <v>56</v>
      </c>
      <c r="F82" s="169">
        <f>F80+F81</f>
        <v>3213710</v>
      </c>
    </row>
    <row r="83" spans="5:6" x14ac:dyDescent="0.2">
      <c r="E83" s="161" t="s">
        <v>10</v>
      </c>
    </row>
    <row r="84" spans="5:6" x14ac:dyDescent="0.2">
      <c r="E84" s="5" t="s">
        <v>54</v>
      </c>
      <c r="F84" s="167">
        <f>F45</f>
        <v>11753</v>
      </c>
    </row>
    <row r="85" spans="5:6" x14ac:dyDescent="0.2">
      <c r="E85" s="5" t="s">
        <v>55</v>
      </c>
      <c r="F85" s="167">
        <f>F62</f>
        <v>0</v>
      </c>
    </row>
    <row r="86" spans="5:6" x14ac:dyDescent="0.2">
      <c r="E86" s="168" t="s">
        <v>56</v>
      </c>
      <c r="F86" s="169">
        <f>F84+F85</f>
        <v>11753</v>
      </c>
    </row>
    <row r="87" spans="5:6" x14ac:dyDescent="0.2">
      <c r="E87" s="161" t="s">
        <v>50</v>
      </c>
    </row>
    <row r="88" spans="5:6" x14ac:dyDescent="0.2">
      <c r="E88" s="5" t="s">
        <v>54</v>
      </c>
      <c r="F88" s="167">
        <f>F51</f>
        <v>201185</v>
      </c>
    </row>
    <row r="89" spans="5:6" x14ac:dyDescent="0.2">
      <c r="E89" s="5" t="s">
        <v>55</v>
      </c>
      <c r="F89" s="167">
        <f>F63</f>
        <v>0</v>
      </c>
    </row>
    <row r="90" spans="5:6" x14ac:dyDescent="0.2">
      <c r="E90" s="168" t="s">
        <v>56</v>
      </c>
      <c r="F90" s="169">
        <f>F88+F89</f>
        <v>201185</v>
      </c>
    </row>
    <row r="91" spans="5:6" hidden="1" x14ac:dyDescent="0.2">
      <c r="E91" s="161" t="s">
        <v>53</v>
      </c>
    </row>
    <row r="92" spans="5:6" hidden="1" x14ac:dyDescent="0.2">
      <c r="E92" s="5" t="s">
        <v>54</v>
      </c>
      <c r="F92" s="167">
        <f>F55</f>
        <v>0</v>
      </c>
    </row>
    <row r="93" spans="5:6" hidden="1" x14ac:dyDescent="0.2">
      <c r="E93" s="5" t="s">
        <v>55</v>
      </c>
      <c r="F93" s="167">
        <f>F64</f>
        <v>0</v>
      </c>
    </row>
    <row r="94" spans="5:6" hidden="1" x14ac:dyDescent="0.2">
      <c r="E94" s="168" t="s">
        <v>56</v>
      </c>
      <c r="F94" s="169">
        <f>F92+F93</f>
        <v>0</v>
      </c>
    </row>
    <row r="95" spans="5:6" hidden="1" x14ac:dyDescent="0.2">
      <c r="E95" s="161" t="s">
        <v>57</v>
      </c>
    </row>
    <row r="96" spans="5:6" hidden="1" x14ac:dyDescent="0.2">
      <c r="E96" s="5" t="s">
        <v>54</v>
      </c>
      <c r="F96" s="167">
        <f>F56</f>
        <v>0</v>
      </c>
    </row>
    <row r="97" spans="3:8" hidden="1" x14ac:dyDescent="0.2">
      <c r="E97" s="5" t="s">
        <v>55</v>
      </c>
      <c r="F97" s="167">
        <f>F65</f>
        <v>0</v>
      </c>
    </row>
    <row r="98" spans="3:8" x14ac:dyDescent="0.2">
      <c r="E98" s="168" t="s">
        <v>56</v>
      </c>
      <c r="F98" s="169">
        <f>F96+F97</f>
        <v>0</v>
      </c>
    </row>
    <row r="99" spans="3:8" ht="13.5" thickBot="1" x14ac:dyDescent="0.25">
      <c r="E99" s="161" t="s">
        <v>59</v>
      </c>
      <c r="F99" s="170">
        <f>F74+F78+F82+F86+F90+F94+F98</f>
        <v>5149238</v>
      </c>
    </row>
    <row r="100" spans="3:8" ht="13.5" thickTop="1" x14ac:dyDescent="0.2"/>
    <row r="102" spans="3:8" x14ac:dyDescent="0.2">
      <c r="C102" s="195"/>
      <c r="D102" s="195"/>
      <c r="E102" s="195"/>
      <c r="F102" s="195" t="s">
        <v>17</v>
      </c>
      <c r="G102" s="195"/>
      <c r="H102" s="195"/>
    </row>
    <row r="103" spans="3:8" x14ac:dyDescent="0.2">
      <c r="C103" s="161"/>
      <c r="F103" s="195"/>
      <c r="G103" s="195"/>
      <c r="H103" s="195"/>
    </row>
    <row r="104" spans="3:8" x14ac:dyDescent="0.2">
      <c r="C104" s="194"/>
      <c r="D104" s="194"/>
      <c r="E104" s="194"/>
    </row>
    <row r="105" spans="3:8" x14ac:dyDescent="0.2">
      <c r="C105" s="195"/>
      <c r="D105" s="195"/>
      <c r="E105" s="195"/>
      <c r="F105" s="172"/>
      <c r="G105" s="172" t="s">
        <v>197</v>
      </c>
      <c r="H105" s="172"/>
    </row>
    <row r="106" spans="3:8" x14ac:dyDescent="0.2">
      <c r="F106" s="195" t="s">
        <v>198</v>
      </c>
      <c r="G106" s="195"/>
      <c r="H106" s="195"/>
    </row>
  </sheetData>
  <mergeCells count="15">
    <mergeCell ref="C6:H6"/>
    <mergeCell ref="C1:H1"/>
    <mergeCell ref="C2:H2"/>
    <mergeCell ref="C3:H3"/>
    <mergeCell ref="C4:H4"/>
    <mergeCell ref="C5:H5"/>
    <mergeCell ref="C104:E104"/>
    <mergeCell ref="C105:E105"/>
    <mergeCell ref="F106:H106"/>
    <mergeCell ref="C7:H7"/>
    <mergeCell ref="C8:H8"/>
    <mergeCell ref="C10:D10"/>
    <mergeCell ref="C102:E102"/>
    <mergeCell ref="F102:H102"/>
    <mergeCell ref="F103:H103"/>
  </mergeCells>
  <pageMargins left="0.5" right="0.25" top="0.25" bottom="0.25" header="0.3" footer="0.3"/>
  <pageSetup paperSize="134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R137"/>
  <sheetViews>
    <sheetView tabSelected="1" topLeftCell="A91" zoomScaleNormal="100" zoomScaleSheetLayoutView="90" workbookViewId="0">
      <selection activeCell="C96" sqref="C96"/>
    </sheetView>
  </sheetViews>
  <sheetFormatPr defaultColWidth="25.28515625" defaultRowHeight="12.75" x14ac:dyDescent="0.2"/>
  <cols>
    <col min="1" max="1" width="56" style="72" customWidth="1"/>
    <col min="2" max="2" width="13.140625" style="226" customWidth="1"/>
    <col min="3" max="3" width="12.85546875" style="73" customWidth="1"/>
    <col min="4" max="4" width="14" style="73" customWidth="1"/>
    <col min="5" max="5" width="13.28515625" style="73" customWidth="1"/>
    <col min="6" max="6" width="13.140625" style="73" customWidth="1"/>
    <col min="7" max="7" width="14.5703125" style="73" bestFit="1" customWidth="1"/>
    <col min="8" max="8" width="13.28515625" style="121" customWidth="1"/>
    <col min="9" max="9" width="14" style="73" customWidth="1"/>
    <col min="10" max="10" width="23.85546875" style="73" hidden="1" customWidth="1"/>
    <col min="11" max="11" width="13.28515625" style="73" customWidth="1"/>
    <col min="12" max="12" width="13.5703125" style="73" customWidth="1"/>
    <col min="13" max="13" width="8.85546875" style="74" customWidth="1"/>
    <col min="14" max="14" width="10.7109375" style="73" customWidth="1"/>
    <col min="15" max="15" width="12.5703125" style="72" hidden="1" customWidth="1"/>
    <col min="16" max="16" width="15.7109375" style="72" hidden="1" customWidth="1"/>
    <col min="17" max="17" width="18" style="72" hidden="1" customWidth="1"/>
    <col min="18" max="18" width="14.140625" style="72" hidden="1" customWidth="1"/>
    <col min="19" max="19" width="14.140625" style="72" customWidth="1"/>
    <col min="20" max="16384" width="25.28515625" style="72"/>
  </cols>
  <sheetData>
    <row r="1" spans="1:18" s="63" customFormat="1" x14ac:dyDescent="0.2">
      <c r="B1" s="207"/>
      <c r="C1" s="64"/>
      <c r="D1" s="64"/>
      <c r="E1" s="64"/>
      <c r="M1" s="65"/>
      <c r="N1" s="63" t="s">
        <v>117</v>
      </c>
    </row>
    <row r="2" spans="1:18" s="63" customFormat="1" x14ac:dyDescent="0.2">
      <c r="A2" s="198" t="s">
        <v>118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8" s="63" customForma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8" s="63" customFormat="1" x14ac:dyDescent="0.2">
      <c r="A4" s="199" t="s">
        <v>119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8" s="63" customFormat="1" x14ac:dyDescent="0.2">
      <c r="B5" s="207"/>
      <c r="C5" s="64"/>
      <c r="D5" s="64"/>
      <c r="E5" s="64"/>
      <c r="I5" s="66"/>
      <c r="J5" s="66"/>
      <c r="K5" s="66"/>
      <c r="L5" s="66"/>
      <c r="M5" s="65"/>
    </row>
    <row r="6" spans="1:18" s="69" customFormat="1" x14ac:dyDescent="0.2">
      <c r="A6" s="67" t="s">
        <v>234</v>
      </c>
      <c r="B6" s="208" t="s">
        <v>281</v>
      </c>
      <c r="C6" s="68"/>
      <c r="D6" s="68"/>
      <c r="H6" s="189"/>
      <c r="I6" s="70"/>
      <c r="J6" s="70"/>
      <c r="K6" s="70"/>
      <c r="L6" s="70"/>
      <c r="M6" s="71"/>
      <c r="N6" s="70"/>
    </row>
    <row r="7" spans="1:18" s="69" customFormat="1" x14ac:dyDescent="0.2">
      <c r="A7" s="67" t="s">
        <v>235</v>
      </c>
      <c r="B7" s="208" t="s">
        <v>282</v>
      </c>
      <c r="C7" s="68"/>
      <c r="D7" s="68"/>
      <c r="H7" s="189"/>
      <c r="I7" s="70"/>
      <c r="J7" s="70"/>
      <c r="K7" s="70"/>
      <c r="L7" s="70"/>
      <c r="M7" s="71"/>
      <c r="N7" s="70"/>
    </row>
    <row r="8" spans="1:18" s="69" customFormat="1" x14ac:dyDescent="0.2">
      <c r="A8" s="67" t="s">
        <v>236</v>
      </c>
      <c r="B8" s="208" t="s">
        <v>201</v>
      </c>
      <c r="C8" s="68"/>
      <c r="D8" s="68"/>
      <c r="H8" s="189"/>
      <c r="I8" s="70"/>
      <c r="J8" s="70"/>
      <c r="K8" s="70"/>
      <c r="L8" s="70"/>
      <c r="M8" s="71"/>
      <c r="N8" s="70"/>
    </row>
    <row r="9" spans="1:18" s="69" customFormat="1" x14ac:dyDescent="0.2">
      <c r="A9" s="67" t="s">
        <v>237</v>
      </c>
      <c r="B9" s="208" t="s">
        <v>283</v>
      </c>
      <c r="C9" s="137"/>
      <c r="D9" s="138"/>
      <c r="H9" s="189"/>
      <c r="I9" s="70"/>
      <c r="J9" s="70"/>
      <c r="K9" s="70"/>
      <c r="L9" s="70"/>
      <c r="M9" s="71"/>
      <c r="N9" s="70"/>
    </row>
    <row r="10" spans="1:18" s="203" customFormat="1" x14ac:dyDescent="0.2">
      <c r="A10" s="202"/>
      <c r="B10" s="209"/>
      <c r="C10" s="204"/>
      <c r="D10" s="204"/>
      <c r="E10" s="204"/>
      <c r="F10" s="204"/>
      <c r="G10" s="204">
        <f>G15-G73</f>
        <v>1033150.0000000001</v>
      </c>
      <c r="H10" s="205">
        <f>H15-H73</f>
        <v>5149238</v>
      </c>
      <c r="I10" s="204"/>
      <c r="J10" s="204"/>
      <c r="K10" s="204"/>
      <c r="L10" s="204"/>
      <c r="M10" s="206"/>
      <c r="N10" s="204"/>
    </row>
    <row r="11" spans="1:18" s="75" customFormat="1" x14ac:dyDescent="0.2">
      <c r="A11" s="200" t="s">
        <v>120</v>
      </c>
      <c r="B11" s="210" t="s">
        <v>121</v>
      </c>
      <c r="C11" s="197" t="s">
        <v>122</v>
      </c>
      <c r="D11" s="201" t="s">
        <v>123</v>
      </c>
      <c r="E11" s="201"/>
      <c r="F11" s="201"/>
      <c r="G11" s="201"/>
      <c r="H11" s="201"/>
      <c r="I11" s="201" t="s">
        <v>124</v>
      </c>
      <c r="J11" s="201"/>
      <c r="K11" s="201"/>
      <c r="L11" s="201" t="s">
        <v>125</v>
      </c>
      <c r="M11" s="201"/>
      <c r="N11" s="197" t="s">
        <v>126</v>
      </c>
    </row>
    <row r="12" spans="1:18" s="75" customFormat="1" ht="25.5" x14ac:dyDescent="0.2">
      <c r="A12" s="200"/>
      <c r="B12" s="210"/>
      <c r="C12" s="197"/>
      <c r="D12" s="76" t="s">
        <v>127</v>
      </c>
      <c r="E12" s="76" t="s">
        <v>128</v>
      </c>
      <c r="F12" s="76" t="s">
        <v>129</v>
      </c>
      <c r="G12" s="76" t="s">
        <v>130</v>
      </c>
      <c r="H12" s="129" t="s">
        <v>131</v>
      </c>
      <c r="I12" s="76" t="s">
        <v>132</v>
      </c>
      <c r="J12" s="76" t="s">
        <v>133</v>
      </c>
      <c r="K12" s="76" t="s">
        <v>131</v>
      </c>
      <c r="L12" s="76" t="s">
        <v>134</v>
      </c>
      <c r="M12" s="77" t="s">
        <v>135</v>
      </c>
      <c r="N12" s="197"/>
    </row>
    <row r="13" spans="1:18" s="81" customFormat="1" x14ac:dyDescent="0.2">
      <c r="A13" s="78">
        <v>1</v>
      </c>
      <c r="B13" s="211">
        <v>2</v>
      </c>
      <c r="C13" s="79">
        <v>3</v>
      </c>
      <c r="D13" s="79">
        <v>4</v>
      </c>
      <c r="E13" s="79">
        <v>5</v>
      </c>
      <c r="F13" s="79">
        <v>6</v>
      </c>
      <c r="G13" s="79">
        <v>7</v>
      </c>
      <c r="H13" s="79" t="s">
        <v>136</v>
      </c>
      <c r="I13" s="79">
        <v>9</v>
      </c>
      <c r="J13" s="79">
        <v>10</v>
      </c>
      <c r="K13" s="79" t="s">
        <v>137</v>
      </c>
      <c r="L13" s="79" t="s">
        <v>138</v>
      </c>
      <c r="M13" s="80" t="s">
        <v>139</v>
      </c>
      <c r="N13" s="79">
        <v>14</v>
      </c>
    </row>
    <row r="14" spans="1:18" x14ac:dyDescent="0.2">
      <c r="A14" s="82"/>
      <c r="B14" s="212"/>
      <c r="C14" s="83"/>
      <c r="D14" s="84"/>
      <c r="E14" s="85"/>
      <c r="F14" s="84"/>
      <c r="G14" s="85"/>
      <c r="H14" s="190"/>
      <c r="I14" s="85"/>
      <c r="J14" s="84"/>
      <c r="K14" s="83"/>
      <c r="L14" s="83"/>
      <c r="M14" s="86"/>
      <c r="N14" s="83"/>
    </row>
    <row r="15" spans="1:18" s="92" customFormat="1" x14ac:dyDescent="0.2">
      <c r="A15" s="87" t="s">
        <v>140</v>
      </c>
      <c r="B15" s="213"/>
      <c r="C15" s="88">
        <f>+C21+C26+C43+C60+C66+C70+C71+C73</f>
        <v>5356550</v>
      </c>
      <c r="D15" s="88">
        <f>+D21+D26+D43+D60+D66+D70+D71+D73</f>
        <v>1959040.17</v>
      </c>
      <c r="E15" s="88">
        <f>+E21+E26+E43+E60+E66+E70+E71+E73</f>
        <v>1604410.09</v>
      </c>
      <c r="F15" s="88">
        <f>+F21+F26+F43+F60+F66+F70+F71+F73</f>
        <v>1752964.85</v>
      </c>
      <c r="G15" s="88">
        <f>+G21+G26+G43+G60+G66+G70+G71+G73</f>
        <v>1148061.1100000001</v>
      </c>
      <c r="H15" s="104">
        <f>D15+E15+F15+G15</f>
        <v>6464476.2199999997</v>
      </c>
      <c r="I15" s="88">
        <f>D15+E15+F15+G15</f>
        <v>6464476.2199999997</v>
      </c>
      <c r="J15" s="88"/>
      <c r="K15" s="88">
        <f>I15+J15</f>
        <v>6464476.2199999997</v>
      </c>
      <c r="L15" s="88">
        <f>H15-C15</f>
        <v>1107926.2199999997</v>
      </c>
      <c r="M15" s="88">
        <f>L15/C15</f>
        <v>0.20683578422678772</v>
      </c>
      <c r="N15" s="127"/>
      <c r="O15" s="92" t="s">
        <v>268</v>
      </c>
      <c r="P15" s="92" t="s">
        <v>269</v>
      </c>
      <c r="Q15" s="92" t="s">
        <v>270</v>
      </c>
    </row>
    <row r="16" spans="1:18" x14ac:dyDescent="0.2">
      <c r="A16" s="87"/>
      <c r="B16" s="214"/>
      <c r="C16" s="83"/>
      <c r="D16" s="83"/>
      <c r="E16" s="85"/>
      <c r="F16" s="83"/>
      <c r="G16" s="85"/>
      <c r="H16" s="90"/>
      <c r="I16" s="85"/>
      <c r="J16" s="83"/>
      <c r="K16" s="83"/>
      <c r="L16" s="83"/>
      <c r="M16" s="86"/>
      <c r="N16" s="83"/>
      <c r="R16" s="184"/>
    </row>
    <row r="17" spans="1:44" x14ac:dyDescent="0.2">
      <c r="A17" s="89" t="s">
        <v>141</v>
      </c>
      <c r="B17" s="214"/>
      <c r="C17" s="83"/>
      <c r="D17" s="83"/>
      <c r="E17" s="85"/>
      <c r="F17" s="83"/>
      <c r="G17" s="85"/>
      <c r="H17" s="90"/>
      <c r="I17" s="85"/>
      <c r="J17" s="83"/>
      <c r="K17" s="83"/>
      <c r="L17" s="83"/>
      <c r="M17" s="86"/>
      <c r="N17" s="83"/>
    </row>
    <row r="18" spans="1:44" x14ac:dyDescent="0.2">
      <c r="A18" s="82"/>
      <c r="B18" s="214"/>
      <c r="C18" s="83"/>
      <c r="D18" s="83"/>
      <c r="E18" s="85"/>
      <c r="F18" s="83"/>
      <c r="G18" s="85"/>
      <c r="H18" s="90"/>
      <c r="I18" s="85"/>
      <c r="J18" s="83"/>
      <c r="K18" s="83"/>
      <c r="L18" s="83"/>
      <c r="M18" s="86"/>
      <c r="N18" s="83"/>
    </row>
    <row r="19" spans="1:44" x14ac:dyDescent="0.2">
      <c r="A19" s="89" t="s">
        <v>142</v>
      </c>
      <c r="B19" s="214"/>
      <c r="C19" s="83"/>
      <c r="D19" s="83"/>
      <c r="E19" s="85"/>
      <c r="F19" s="83"/>
      <c r="G19" s="85"/>
      <c r="H19" s="90"/>
      <c r="I19" s="85"/>
      <c r="J19" s="83"/>
      <c r="K19" s="83"/>
      <c r="L19" s="83"/>
      <c r="M19" s="86"/>
      <c r="N19" s="83"/>
    </row>
    <row r="20" spans="1:44" x14ac:dyDescent="0.2">
      <c r="A20" s="89"/>
      <c r="B20" s="214"/>
      <c r="C20" s="83"/>
      <c r="D20" s="83"/>
      <c r="E20" s="85"/>
      <c r="F20" s="83"/>
      <c r="G20" s="85"/>
      <c r="H20" s="90"/>
      <c r="I20" s="85"/>
      <c r="J20" s="83"/>
      <c r="K20" s="83"/>
      <c r="L20" s="83"/>
      <c r="M20" s="86"/>
      <c r="N20" s="90"/>
    </row>
    <row r="21" spans="1:44" s="92" customFormat="1" x14ac:dyDescent="0.2">
      <c r="A21" s="130" t="s">
        <v>186</v>
      </c>
      <c r="B21" s="215" t="s">
        <v>193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104">
        <f>D21+E21+F21+G21</f>
        <v>0</v>
      </c>
      <c r="I21" s="88"/>
      <c r="J21" s="88"/>
      <c r="K21" s="88">
        <f>I21+J21</f>
        <v>0</v>
      </c>
      <c r="L21" s="88">
        <f>+H21-C21</f>
        <v>0</v>
      </c>
      <c r="M21" s="88" t="e">
        <f>L21/C21</f>
        <v>#DIV/0!</v>
      </c>
      <c r="N21" s="126"/>
      <c r="O21" s="91"/>
    </row>
    <row r="22" spans="1:44" ht="25.5" x14ac:dyDescent="0.2">
      <c r="A22" s="93" t="s">
        <v>143</v>
      </c>
      <c r="B22" s="214"/>
      <c r="C22" s="83"/>
      <c r="D22" s="83"/>
      <c r="E22" s="85"/>
      <c r="F22" s="83"/>
      <c r="G22" s="85"/>
      <c r="H22" s="90">
        <f t="shared" ref="H22:H29" si="0">SUM(D22:G22)</f>
        <v>0</v>
      </c>
      <c r="I22" s="83"/>
      <c r="J22" s="83"/>
      <c r="K22" s="83">
        <f>I22+J22</f>
        <v>0</v>
      </c>
      <c r="L22" s="83"/>
      <c r="M22" s="86"/>
      <c r="N22" s="94"/>
      <c r="O22" s="91"/>
    </row>
    <row r="23" spans="1:44" x14ac:dyDescent="0.2">
      <c r="A23" s="95"/>
      <c r="B23" s="214"/>
      <c r="C23" s="83"/>
      <c r="D23" s="83"/>
      <c r="E23" s="85"/>
      <c r="F23" s="83"/>
      <c r="G23" s="85"/>
      <c r="H23" s="90">
        <f t="shared" si="0"/>
        <v>0</v>
      </c>
      <c r="I23" s="83"/>
      <c r="J23" s="83"/>
      <c r="K23" s="83">
        <f>I23+J23</f>
        <v>0</v>
      </c>
      <c r="L23" s="83"/>
      <c r="M23" s="86"/>
      <c r="N23" s="90"/>
      <c r="O23" s="91"/>
    </row>
    <row r="24" spans="1:44" s="100" customFormat="1" x14ac:dyDescent="0.2">
      <c r="A24" s="96" t="s">
        <v>144</v>
      </c>
      <c r="B24" s="216"/>
      <c r="C24" s="97"/>
      <c r="D24" s="97"/>
      <c r="E24" s="97"/>
      <c r="F24" s="97"/>
      <c r="G24" s="97"/>
      <c r="H24" s="90">
        <f t="shared" si="0"/>
        <v>0</v>
      </c>
      <c r="I24" s="83"/>
      <c r="J24" s="83"/>
      <c r="K24" s="83">
        <f>I24+J24</f>
        <v>0</v>
      </c>
      <c r="L24" s="97"/>
      <c r="M24" s="98"/>
      <c r="N24" s="90"/>
      <c r="O24" s="91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</row>
    <row r="25" spans="1:44" s="99" customFormat="1" x14ac:dyDescent="0.2">
      <c r="A25" s="101" t="s">
        <v>145</v>
      </c>
      <c r="B25" s="217"/>
      <c r="C25" s="102"/>
      <c r="D25" s="102"/>
      <c r="E25" s="102"/>
      <c r="F25" s="102"/>
      <c r="G25" s="102"/>
      <c r="H25" s="90">
        <f t="shared" si="0"/>
        <v>0</v>
      </c>
      <c r="I25" s="83"/>
      <c r="J25" s="83"/>
      <c r="K25" s="83">
        <f>I25+J25</f>
        <v>0</v>
      </c>
      <c r="L25" s="102"/>
      <c r="M25" s="103"/>
      <c r="N25" s="90"/>
      <c r="O25" s="91"/>
    </row>
    <row r="26" spans="1:44" s="100" customFormat="1" x14ac:dyDescent="0.2">
      <c r="A26" s="28" t="s">
        <v>21</v>
      </c>
      <c r="B26" s="218" t="s">
        <v>185</v>
      </c>
      <c r="C26" s="104">
        <f>SUM(C27:C42)</f>
        <v>1988700</v>
      </c>
      <c r="D26" s="104">
        <f>SUM(D27:D42)</f>
        <v>363540</v>
      </c>
      <c r="E26" s="104">
        <f>SUM(E27:E42)</f>
        <v>498800</v>
      </c>
      <c r="F26" s="104">
        <f>SUM(F27:F42)</f>
        <v>519950</v>
      </c>
      <c r="G26" s="104">
        <f>SUM(G27:G42)</f>
        <v>340300</v>
      </c>
      <c r="H26" s="104">
        <f t="shared" si="0"/>
        <v>1722590</v>
      </c>
      <c r="I26" s="88">
        <f>D26+E26+F26+G26</f>
        <v>1722590</v>
      </c>
      <c r="J26" s="104"/>
      <c r="K26" s="104">
        <f>+I26+J26</f>
        <v>1722590</v>
      </c>
      <c r="L26" s="104">
        <f t="shared" ref="L26:L77" si="1">+H26-C26</f>
        <v>-266110</v>
      </c>
      <c r="M26" s="88">
        <f>L26/C26</f>
        <v>-0.13381103233267963</v>
      </c>
      <c r="N26" s="97"/>
      <c r="O26" s="91"/>
    </row>
    <row r="27" spans="1:44" s="99" customFormat="1" x14ac:dyDescent="0.2">
      <c r="A27" s="105" t="s">
        <v>146</v>
      </c>
      <c r="B27" s="219" t="s">
        <v>64</v>
      </c>
      <c r="C27" s="90"/>
      <c r="D27" s="90">
        <v>27000</v>
      </c>
      <c r="E27" s="106"/>
      <c r="F27" s="90"/>
      <c r="G27" s="106">
        <f t="shared" ref="G27:G42" si="2">R27</f>
        <v>0</v>
      </c>
      <c r="H27" s="90">
        <f t="shared" si="0"/>
        <v>27000</v>
      </c>
      <c r="I27" s="83">
        <f>H27</f>
        <v>27000</v>
      </c>
      <c r="J27" s="83"/>
      <c r="K27" s="83">
        <f>I27+J27</f>
        <v>27000</v>
      </c>
      <c r="L27" s="97">
        <f t="shared" si="1"/>
        <v>27000</v>
      </c>
      <c r="M27" s="103"/>
      <c r="N27" s="90"/>
      <c r="O27" s="91"/>
      <c r="P27" s="121"/>
      <c r="Q27" s="121"/>
      <c r="R27" s="187">
        <f>SUM(O27:Q27)</f>
        <v>0</v>
      </c>
    </row>
    <row r="28" spans="1:44" s="99" customFormat="1" x14ac:dyDescent="0.2">
      <c r="A28" s="105" t="s">
        <v>147</v>
      </c>
      <c r="B28" s="219" t="s">
        <v>67</v>
      </c>
      <c r="C28" s="90"/>
      <c r="D28" s="90"/>
      <c r="E28" s="106"/>
      <c r="F28" s="90"/>
      <c r="G28" s="106">
        <f t="shared" si="2"/>
        <v>0</v>
      </c>
      <c r="H28" s="90">
        <f t="shared" si="0"/>
        <v>0</v>
      </c>
      <c r="I28" s="83">
        <f t="shared" ref="I28:I69" si="3">H28</f>
        <v>0</v>
      </c>
      <c r="J28" s="83"/>
      <c r="K28" s="83">
        <f>I28+J28</f>
        <v>0</v>
      </c>
      <c r="L28" s="97">
        <f t="shared" si="1"/>
        <v>0</v>
      </c>
      <c r="M28" s="103"/>
      <c r="N28" s="90"/>
      <c r="O28" s="91"/>
      <c r="P28" s="121"/>
      <c r="Q28" s="121"/>
      <c r="R28" s="187">
        <f t="shared" ref="R28:R69" si="4">SUM(O28:Q28)</f>
        <v>0</v>
      </c>
    </row>
    <row r="29" spans="1:44" s="99" customFormat="1" x14ac:dyDescent="0.2">
      <c r="A29" s="105" t="s">
        <v>148</v>
      </c>
      <c r="B29" s="219" t="s">
        <v>69</v>
      </c>
      <c r="C29" s="90">
        <f>1031.1*1000</f>
        <v>1031099.9999999999</v>
      </c>
      <c r="D29" s="90">
        <v>193570</v>
      </c>
      <c r="E29" s="106">
        <f>((81000)+57000)+93000</f>
        <v>231000</v>
      </c>
      <c r="F29" s="90">
        <v>284000</v>
      </c>
      <c r="G29" s="106">
        <f t="shared" si="2"/>
        <v>216000</v>
      </c>
      <c r="H29" s="90">
        <f t="shared" si="0"/>
        <v>924570</v>
      </c>
      <c r="I29" s="83">
        <f t="shared" si="3"/>
        <v>924570</v>
      </c>
      <c r="J29" s="83"/>
      <c r="K29" s="83">
        <f t="shared" ref="K29:K42" si="5">I29+J29</f>
        <v>924570</v>
      </c>
      <c r="L29" s="97">
        <f t="shared" si="1"/>
        <v>-106529.99999999988</v>
      </c>
      <c r="M29" s="103"/>
      <c r="N29" s="90"/>
      <c r="O29" s="184">
        <v>74500</v>
      </c>
      <c r="P29" s="121">
        <v>33500</v>
      </c>
      <c r="Q29" s="121">
        <v>108000</v>
      </c>
      <c r="R29" s="187">
        <f t="shared" si="4"/>
        <v>216000</v>
      </c>
      <c r="S29" s="185"/>
    </row>
    <row r="30" spans="1:44" s="99" customFormat="1" x14ac:dyDescent="0.2">
      <c r="A30" s="105" t="s">
        <v>149</v>
      </c>
      <c r="B30" s="219" t="s">
        <v>71</v>
      </c>
      <c r="C30" s="90"/>
      <c r="D30" s="90"/>
      <c r="E30" s="106"/>
      <c r="F30" s="90"/>
      <c r="G30" s="106">
        <f t="shared" si="2"/>
        <v>0</v>
      </c>
      <c r="H30" s="90">
        <f t="shared" ref="H30:H42" si="6">SUM(D30:G30)</f>
        <v>0</v>
      </c>
      <c r="I30" s="83">
        <f t="shared" si="3"/>
        <v>0</v>
      </c>
      <c r="J30" s="83"/>
      <c r="K30" s="83">
        <f t="shared" si="5"/>
        <v>0</v>
      </c>
      <c r="L30" s="97">
        <f t="shared" si="1"/>
        <v>0</v>
      </c>
      <c r="M30" s="103"/>
      <c r="N30" s="90"/>
      <c r="O30" s="184"/>
      <c r="P30" s="121"/>
      <c r="Q30" s="121"/>
      <c r="R30" s="187">
        <f t="shared" si="4"/>
        <v>0</v>
      </c>
      <c r="S30" s="185"/>
    </row>
    <row r="31" spans="1:44" s="99" customFormat="1" x14ac:dyDescent="0.2">
      <c r="A31" s="105" t="s">
        <v>150</v>
      </c>
      <c r="B31" s="219" t="s">
        <v>73</v>
      </c>
      <c r="C31" s="90">
        <f>28.35*1000</f>
        <v>28350</v>
      </c>
      <c r="D31" s="90"/>
      <c r="E31" s="106">
        <f>10000</f>
        <v>10000</v>
      </c>
      <c r="F31" s="90">
        <f>(2000)+10000</f>
        <v>12000</v>
      </c>
      <c r="G31" s="106">
        <f t="shared" si="2"/>
        <v>0</v>
      </c>
      <c r="H31" s="90">
        <f t="shared" si="6"/>
        <v>22000</v>
      </c>
      <c r="I31" s="83">
        <f t="shared" si="3"/>
        <v>22000</v>
      </c>
      <c r="J31" s="83"/>
      <c r="K31" s="83">
        <f t="shared" si="5"/>
        <v>22000</v>
      </c>
      <c r="L31" s="97">
        <f t="shared" si="1"/>
        <v>-6350</v>
      </c>
      <c r="M31" s="103"/>
      <c r="N31" s="90"/>
      <c r="O31" s="184"/>
      <c r="P31" s="121"/>
      <c r="Q31" s="121"/>
      <c r="R31" s="187">
        <f t="shared" si="4"/>
        <v>0</v>
      </c>
      <c r="S31" s="185"/>
    </row>
    <row r="32" spans="1:44" s="99" customFormat="1" x14ac:dyDescent="0.2">
      <c r="A32" s="105" t="s">
        <v>151</v>
      </c>
      <c r="B32" s="219" t="s">
        <v>76</v>
      </c>
      <c r="C32" s="90"/>
      <c r="D32" s="90"/>
      <c r="E32" s="106"/>
      <c r="F32" s="90"/>
      <c r="G32" s="106">
        <f t="shared" si="2"/>
        <v>0</v>
      </c>
      <c r="H32" s="90">
        <f t="shared" si="6"/>
        <v>0</v>
      </c>
      <c r="I32" s="83">
        <f t="shared" si="3"/>
        <v>0</v>
      </c>
      <c r="J32" s="83"/>
      <c r="K32" s="83">
        <f t="shared" si="5"/>
        <v>0</v>
      </c>
      <c r="L32" s="97">
        <f t="shared" si="1"/>
        <v>0</v>
      </c>
      <c r="M32" s="103"/>
      <c r="N32" s="90"/>
      <c r="O32" s="184"/>
      <c r="P32" s="121"/>
      <c r="Q32" s="121"/>
      <c r="R32" s="187">
        <f t="shared" si="4"/>
        <v>0</v>
      </c>
      <c r="S32" s="185"/>
    </row>
    <row r="33" spans="1:20" s="99" customFormat="1" x14ac:dyDescent="0.2">
      <c r="A33" s="105" t="s">
        <v>152</v>
      </c>
      <c r="B33" s="219" t="s">
        <v>78</v>
      </c>
      <c r="C33" s="90">
        <f>22.05*1000</f>
        <v>22050</v>
      </c>
      <c r="D33" s="90"/>
      <c r="E33" s="106">
        <f>80000</f>
        <v>80000</v>
      </c>
      <c r="F33" s="90">
        <v>40000</v>
      </c>
      <c r="G33" s="106">
        <f t="shared" si="2"/>
        <v>0</v>
      </c>
      <c r="H33" s="90">
        <f t="shared" si="6"/>
        <v>120000</v>
      </c>
      <c r="I33" s="83">
        <f t="shared" si="3"/>
        <v>120000</v>
      </c>
      <c r="J33" s="83"/>
      <c r="K33" s="83">
        <f t="shared" si="5"/>
        <v>120000</v>
      </c>
      <c r="L33" s="97">
        <f t="shared" si="1"/>
        <v>97950</v>
      </c>
      <c r="M33" s="103"/>
      <c r="N33" s="90"/>
      <c r="O33" s="184"/>
      <c r="P33" s="121"/>
      <c r="Q33" s="121"/>
      <c r="R33" s="187">
        <f t="shared" si="4"/>
        <v>0</v>
      </c>
      <c r="S33" s="185"/>
    </row>
    <row r="34" spans="1:20" s="99" customFormat="1" x14ac:dyDescent="0.2">
      <c r="A34" s="105" t="s">
        <v>227</v>
      </c>
      <c r="B34" s="219" t="s">
        <v>81</v>
      </c>
      <c r="C34" s="90">
        <f>(321.3)*1000</f>
        <v>321300</v>
      </c>
      <c r="D34" s="90">
        <v>58000</v>
      </c>
      <c r="E34" s="106">
        <f>((35000)+11000)+18000</f>
        <v>64000</v>
      </c>
      <c r="F34" s="90">
        <v>65000</v>
      </c>
      <c r="G34" s="106">
        <f t="shared" si="2"/>
        <v>49000</v>
      </c>
      <c r="H34" s="90">
        <f t="shared" si="6"/>
        <v>236000</v>
      </c>
      <c r="I34" s="83">
        <f t="shared" si="3"/>
        <v>236000</v>
      </c>
      <c r="J34" s="83"/>
      <c r="K34" s="83">
        <f t="shared" si="5"/>
        <v>236000</v>
      </c>
      <c r="L34" s="97">
        <f t="shared" si="1"/>
        <v>-85300</v>
      </c>
      <c r="M34" s="103"/>
      <c r="N34" s="90"/>
      <c r="O34" s="184">
        <v>20000</v>
      </c>
      <c r="P34" s="121">
        <v>8000</v>
      </c>
      <c r="Q34" s="121">
        <v>21000</v>
      </c>
      <c r="R34" s="187">
        <f t="shared" si="4"/>
        <v>49000</v>
      </c>
      <c r="S34" s="185"/>
    </row>
    <row r="35" spans="1:20" s="99" customFormat="1" x14ac:dyDescent="0.2">
      <c r="A35" s="107" t="s">
        <v>153</v>
      </c>
      <c r="B35" s="219" t="s">
        <v>84</v>
      </c>
      <c r="C35" s="90"/>
      <c r="D35" s="90"/>
      <c r="E35" s="106"/>
      <c r="F35" s="90"/>
      <c r="G35" s="106">
        <f t="shared" si="2"/>
        <v>0</v>
      </c>
      <c r="H35" s="90">
        <f t="shared" si="6"/>
        <v>0</v>
      </c>
      <c r="I35" s="83">
        <f t="shared" si="3"/>
        <v>0</v>
      </c>
      <c r="J35" s="83"/>
      <c r="K35" s="83">
        <f t="shared" si="5"/>
        <v>0</v>
      </c>
      <c r="L35" s="97">
        <f t="shared" si="1"/>
        <v>0</v>
      </c>
      <c r="M35" s="103"/>
      <c r="N35" s="90"/>
      <c r="O35" s="184"/>
      <c r="P35" s="121"/>
      <c r="Q35" s="121"/>
      <c r="R35" s="187">
        <f t="shared" si="4"/>
        <v>0</v>
      </c>
      <c r="S35" s="185"/>
    </row>
    <row r="36" spans="1:20" s="99" customFormat="1" x14ac:dyDescent="0.2">
      <c r="A36" s="105" t="s">
        <v>154</v>
      </c>
      <c r="B36" s="219" t="s">
        <v>87</v>
      </c>
      <c r="C36" s="90"/>
      <c r="D36" s="90"/>
      <c r="E36" s="106"/>
      <c r="F36" s="90"/>
      <c r="G36" s="106">
        <f t="shared" si="2"/>
        <v>0</v>
      </c>
      <c r="H36" s="90">
        <f t="shared" si="6"/>
        <v>0</v>
      </c>
      <c r="I36" s="83">
        <f t="shared" si="3"/>
        <v>0</v>
      </c>
      <c r="J36" s="83"/>
      <c r="K36" s="83">
        <f t="shared" si="5"/>
        <v>0</v>
      </c>
      <c r="L36" s="97">
        <f t="shared" si="1"/>
        <v>0</v>
      </c>
      <c r="M36" s="103"/>
      <c r="N36" s="90"/>
      <c r="O36" s="184"/>
      <c r="P36" s="121"/>
      <c r="Q36" s="121"/>
      <c r="R36" s="187">
        <f t="shared" si="4"/>
        <v>0</v>
      </c>
      <c r="S36" s="185"/>
    </row>
    <row r="37" spans="1:20" s="99" customFormat="1" x14ac:dyDescent="0.2">
      <c r="A37" s="105" t="s">
        <v>155</v>
      </c>
      <c r="B37" s="219" t="s">
        <v>89</v>
      </c>
      <c r="C37" s="90">
        <f>403.2*1000</f>
        <v>403200</v>
      </c>
      <c r="D37" s="90">
        <v>49200</v>
      </c>
      <c r="E37" s="106">
        <f>((33600)+25200)+41600</f>
        <v>100400</v>
      </c>
      <c r="F37" s="90">
        <v>69400</v>
      </c>
      <c r="G37" s="106">
        <f t="shared" si="2"/>
        <v>51200</v>
      </c>
      <c r="H37" s="90">
        <f t="shared" si="6"/>
        <v>270200</v>
      </c>
      <c r="I37" s="83">
        <f t="shared" si="3"/>
        <v>270200</v>
      </c>
      <c r="J37" s="83"/>
      <c r="K37" s="83">
        <f t="shared" si="5"/>
        <v>270200</v>
      </c>
      <c r="L37" s="97">
        <f t="shared" si="1"/>
        <v>-133000</v>
      </c>
      <c r="M37" s="103"/>
      <c r="N37" s="90"/>
      <c r="O37" s="184">
        <v>18000</v>
      </c>
      <c r="P37" s="121">
        <v>6800</v>
      </c>
      <c r="Q37" s="121">
        <v>26400</v>
      </c>
      <c r="R37" s="187">
        <f t="shared" si="4"/>
        <v>51200</v>
      </c>
      <c r="S37" s="185"/>
      <c r="T37" s="123"/>
    </row>
    <row r="38" spans="1:20" s="99" customFormat="1" x14ac:dyDescent="0.2">
      <c r="A38" s="105" t="s">
        <v>156</v>
      </c>
      <c r="B38" s="219" t="s">
        <v>90</v>
      </c>
      <c r="C38" s="90"/>
      <c r="D38" s="90"/>
      <c r="E38" s="106"/>
      <c r="F38" s="90"/>
      <c r="G38" s="106">
        <f t="shared" si="2"/>
        <v>0</v>
      </c>
      <c r="H38" s="90">
        <f t="shared" si="6"/>
        <v>0</v>
      </c>
      <c r="I38" s="83">
        <f t="shared" si="3"/>
        <v>0</v>
      </c>
      <c r="J38" s="83"/>
      <c r="K38" s="83">
        <f t="shared" si="5"/>
        <v>0</v>
      </c>
      <c r="L38" s="97">
        <f t="shared" si="1"/>
        <v>0</v>
      </c>
      <c r="M38" s="103"/>
      <c r="N38" s="90"/>
      <c r="O38" s="184"/>
      <c r="P38" s="121"/>
      <c r="Q38" s="121"/>
      <c r="R38" s="187">
        <f t="shared" si="4"/>
        <v>0</v>
      </c>
      <c r="S38" s="185"/>
      <c r="T38" s="123"/>
    </row>
    <row r="39" spans="1:20" s="99" customFormat="1" x14ac:dyDescent="0.2">
      <c r="A39" s="105" t="s">
        <v>157</v>
      </c>
      <c r="B39" s="219" t="s">
        <v>91</v>
      </c>
      <c r="C39" s="90">
        <f>39.9*1000</f>
        <v>39900</v>
      </c>
      <c r="D39" s="90"/>
      <c r="E39" s="106"/>
      <c r="F39" s="90"/>
      <c r="G39" s="106">
        <f t="shared" si="2"/>
        <v>0</v>
      </c>
      <c r="H39" s="90">
        <f t="shared" si="6"/>
        <v>0</v>
      </c>
      <c r="I39" s="83">
        <f t="shared" si="3"/>
        <v>0</v>
      </c>
      <c r="J39" s="83"/>
      <c r="K39" s="83">
        <f t="shared" si="5"/>
        <v>0</v>
      </c>
      <c r="L39" s="97">
        <f t="shared" si="1"/>
        <v>-39900</v>
      </c>
      <c r="M39" s="103"/>
      <c r="N39" s="90"/>
      <c r="O39" s="184"/>
      <c r="P39" s="121"/>
      <c r="Q39" s="121"/>
      <c r="R39" s="187">
        <f t="shared" si="4"/>
        <v>0</v>
      </c>
      <c r="S39" s="185"/>
      <c r="T39" s="123"/>
    </row>
    <row r="40" spans="1:20" s="99" customFormat="1" x14ac:dyDescent="0.2">
      <c r="A40" s="105" t="s">
        <v>196</v>
      </c>
      <c r="B40" s="219" t="s">
        <v>195</v>
      </c>
      <c r="C40" s="90">
        <f>(68.25)*1000</f>
        <v>68250</v>
      </c>
      <c r="D40" s="90">
        <v>15070</v>
      </c>
      <c r="E40" s="106">
        <f>((2550)+4500)+4550</f>
        <v>11600</v>
      </c>
      <c r="F40" s="90">
        <v>14850</v>
      </c>
      <c r="G40" s="106">
        <f t="shared" si="2"/>
        <v>8100</v>
      </c>
      <c r="H40" s="90">
        <f t="shared" ref="H40:H41" si="7">SUM(D40:G40)</f>
        <v>49620</v>
      </c>
      <c r="I40" s="83">
        <f t="shared" si="3"/>
        <v>49620</v>
      </c>
      <c r="J40" s="83"/>
      <c r="K40" s="83">
        <f t="shared" ref="K40" si="8">I40+J40</f>
        <v>49620</v>
      </c>
      <c r="L40" s="97">
        <f t="shared" ref="L40" si="9">+H40-C40</f>
        <v>-18630</v>
      </c>
      <c r="M40" s="103"/>
      <c r="N40" s="90"/>
      <c r="O40" s="184">
        <v>2100</v>
      </c>
      <c r="P40" s="121">
        <v>4000</v>
      </c>
      <c r="Q40" s="121">
        <v>2000</v>
      </c>
      <c r="R40" s="187">
        <f t="shared" si="4"/>
        <v>8100</v>
      </c>
      <c r="S40" s="185"/>
      <c r="T40" s="123"/>
    </row>
    <row r="41" spans="1:20" s="99" customFormat="1" x14ac:dyDescent="0.2">
      <c r="A41" s="105" t="s">
        <v>216</v>
      </c>
      <c r="B41" s="219" t="s">
        <v>215</v>
      </c>
      <c r="C41" s="90">
        <f>(74.55)*1000</f>
        <v>74550</v>
      </c>
      <c r="D41" s="90">
        <v>20700</v>
      </c>
      <c r="E41" s="106">
        <f>((600)+300)+900</f>
        <v>1800</v>
      </c>
      <c r="F41" s="90">
        <v>34700</v>
      </c>
      <c r="G41" s="106">
        <f t="shared" si="2"/>
        <v>16000</v>
      </c>
      <c r="H41" s="90">
        <f t="shared" si="7"/>
        <v>73200</v>
      </c>
      <c r="I41" s="83">
        <f t="shared" si="3"/>
        <v>73200</v>
      </c>
      <c r="J41" s="83"/>
      <c r="K41" s="83"/>
      <c r="L41" s="97"/>
      <c r="M41" s="103"/>
      <c r="N41" s="90"/>
      <c r="O41" s="184">
        <v>7700</v>
      </c>
      <c r="P41" s="121">
        <v>5300</v>
      </c>
      <c r="Q41" s="121">
        <v>3000</v>
      </c>
      <c r="R41" s="187">
        <f t="shared" si="4"/>
        <v>16000</v>
      </c>
      <c r="S41" s="185"/>
      <c r="T41" s="123"/>
    </row>
    <row r="42" spans="1:20" s="99" customFormat="1" x14ac:dyDescent="0.2">
      <c r="A42" s="105" t="s">
        <v>158</v>
      </c>
      <c r="B42" s="219" t="s">
        <v>95</v>
      </c>
      <c r="C42" s="90"/>
      <c r="D42" s="90"/>
      <c r="E42" s="106"/>
      <c r="F42" s="90"/>
      <c r="G42" s="106">
        <f t="shared" si="2"/>
        <v>0</v>
      </c>
      <c r="H42" s="90">
        <f t="shared" si="6"/>
        <v>0</v>
      </c>
      <c r="I42" s="83">
        <f t="shared" si="3"/>
        <v>0</v>
      </c>
      <c r="J42" s="83"/>
      <c r="K42" s="83">
        <f t="shared" si="5"/>
        <v>0</v>
      </c>
      <c r="L42" s="97">
        <f t="shared" si="1"/>
        <v>0</v>
      </c>
      <c r="M42" s="103"/>
      <c r="N42" s="90"/>
      <c r="O42" s="91"/>
      <c r="P42" s="121"/>
      <c r="Q42" s="121"/>
      <c r="R42" s="187">
        <f t="shared" si="4"/>
        <v>0</v>
      </c>
      <c r="S42" s="185"/>
      <c r="T42" s="123"/>
    </row>
    <row r="43" spans="1:20" s="100" customFormat="1" x14ac:dyDescent="0.2">
      <c r="A43" s="32" t="s">
        <v>35</v>
      </c>
      <c r="B43" s="218" t="s">
        <v>184</v>
      </c>
      <c r="C43" s="104">
        <f>SUM(C44:C59)</f>
        <v>3114400</v>
      </c>
      <c r="D43" s="104">
        <f>SUM(D44:D59)</f>
        <v>846890</v>
      </c>
      <c r="E43" s="104">
        <f>SUM(E44:E59)</f>
        <v>710480</v>
      </c>
      <c r="F43" s="104">
        <f>SUM(F44:F59)</f>
        <v>987240</v>
      </c>
      <c r="G43" s="104">
        <f>SUM(G44:G59)</f>
        <v>669100</v>
      </c>
      <c r="H43" s="104">
        <f>SUM(D43:G43)</f>
        <v>3213710</v>
      </c>
      <c r="I43" s="88">
        <f>D43+E43+F43+G43</f>
        <v>3213710</v>
      </c>
      <c r="J43" s="104"/>
      <c r="K43" s="104">
        <f>+I43+J43</f>
        <v>3213710</v>
      </c>
      <c r="L43" s="104">
        <f t="shared" si="1"/>
        <v>99310</v>
      </c>
      <c r="M43" s="88">
        <f>L43/C43</f>
        <v>3.1887361931672235E-2</v>
      </c>
      <c r="N43" s="97"/>
      <c r="O43" s="91"/>
      <c r="P43" s="120"/>
      <c r="Q43" s="120"/>
      <c r="R43" s="188"/>
      <c r="S43" s="185"/>
      <c r="T43" s="186"/>
    </row>
    <row r="44" spans="1:20" s="99" customFormat="1" x14ac:dyDescent="0.2">
      <c r="A44" s="105" t="s">
        <v>159</v>
      </c>
      <c r="B44" s="219" t="s">
        <v>66</v>
      </c>
      <c r="C44" s="90"/>
      <c r="D44" s="90"/>
      <c r="E44" s="106"/>
      <c r="F44" s="90"/>
      <c r="G44" s="106">
        <f t="shared" ref="G44:G59" si="10">R44</f>
        <v>0</v>
      </c>
      <c r="H44" s="90">
        <f t="shared" ref="H44:H71" si="11">SUM(D44:G44)</f>
        <v>0</v>
      </c>
      <c r="I44" s="83">
        <f t="shared" si="3"/>
        <v>0</v>
      </c>
      <c r="J44" s="83"/>
      <c r="K44" s="83">
        <f t="shared" ref="K44:K69" si="12">I44+J44</f>
        <v>0</v>
      </c>
      <c r="L44" s="97">
        <f t="shared" si="1"/>
        <v>0</v>
      </c>
      <c r="M44" s="103"/>
      <c r="N44" s="90"/>
      <c r="O44" s="91"/>
      <c r="P44" s="121"/>
      <c r="Q44" s="121"/>
      <c r="R44" s="187">
        <f t="shared" si="4"/>
        <v>0</v>
      </c>
      <c r="S44" s="185"/>
      <c r="T44" s="123"/>
    </row>
    <row r="45" spans="1:20" s="99" customFormat="1" x14ac:dyDescent="0.2">
      <c r="A45" s="105" t="s">
        <v>160</v>
      </c>
      <c r="B45" s="219" t="s">
        <v>68</v>
      </c>
      <c r="C45" s="90"/>
      <c r="D45" s="90"/>
      <c r="E45" s="106"/>
      <c r="F45" s="90"/>
      <c r="G45" s="106">
        <f t="shared" si="10"/>
        <v>0</v>
      </c>
      <c r="H45" s="90">
        <f t="shared" si="11"/>
        <v>0</v>
      </c>
      <c r="I45" s="83">
        <f t="shared" si="3"/>
        <v>0</v>
      </c>
      <c r="J45" s="83"/>
      <c r="K45" s="83">
        <f t="shared" si="12"/>
        <v>0</v>
      </c>
      <c r="L45" s="97">
        <f t="shared" si="1"/>
        <v>0</v>
      </c>
      <c r="M45" s="103"/>
      <c r="N45" s="90"/>
      <c r="O45" s="91"/>
      <c r="P45" s="121"/>
      <c r="Q45" s="121"/>
      <c r="R45" s="187">
        <f t="shared" si="4"/>
        <v>0</v>
      </c>
      <c r="S45" s="185"/>
      <c r="T45" s="123"/>
    </row>
    <row r="46" spans="1:20" s="99" customFormat="1" x14ac:dyDescent="0.2">
      <c r="A46" s="105" t="s">
        <v>161</v>
      </c>
      <c r="B46" s="219" t="s">
        <v>70</v>
      </c>
      <c r="C46" s="90"/>
      <c r="D46" s="90"/>
      <c r="E46" s="106"/>
      <c r="F46" s="90"/>
      <c r="G46" s="106">
        <f t="shared" si="10"/>
        <v>0</v>
      </c>
      <c r="H46" s="90">
        <f t="shared" si="11"/>
        <v>0</v>
      </c>
      <c r="I46" s="83">
        <f t="shared" si="3"/>
        <v>0</v>
      </c>
      <c r="J46" s="83"/>
      <c r="K46" s="83">
        <f t="shared" si="12"/>
        <v>0</v>
      </c>
      <c r="L46" s="97">
        <f t="shared" si="1"/>
        <v>0</v>
      </c>
      <c r="M46" s="103"/>
      <c r="N46" s="90"/>
      <c r="O46" s="91"/>
      <c r="P46" s="121"/>
      <c r="Q46" s="121"/>
      <c r="R46" s="187">
        <f t="shared" si="4"/>
        <v>0</v>
      </c>
      <c r="S46" s="185"/>
      <c r="T46" s="123"/>
    </row>
    <row r="47" spans="1:20" s="99" customFormat="1" x14ac:dyDescent="0.2">
      <c r="A47" s="105" t="s">
        <v>9</v>
      </c>
      <c r="B47" s="219" t="s">
        <v>72</v>
      </c>
      <c r="C47" s="90"/>
      <c r="D47" s="90"/>
      <c r="E47" s="106"/>
      <c r="F47" s="90"/>
      <c r="G47" s="106">
        <f t="shared" si="10"/>
        <v>0</v>
      </c>
      <c r="H47" s="90">
        <f t="shared" si="11"/>
        <v>0</v>
      </c>
      <c r="I47" s="83">
        <f t="shared" si="3"/>
        <v>0</v>
      </c>
      <c r="J47" s="83"/>
      <c r="K47" s="83">
        <f t="shared" si="12"/>
        <v>0</v>
      </c>
      <c r="L47" s="97">
        <f t="shared" si="1"/>
        <v>0</v>
      </c>
      <c r="M47" s="103"/>
      <c r="N47" s="90"/>
      <c r="O47" s="91"/>
      <c r="P47" s="121"/>
      <c r="Q47" s="121"/>
      <c r="R47" s="187">
        <f t="shared" si="4"/>
        <v>0</v>
      </c>
      <c r="S47" s="185"/>
      <c r="T47" s="123"/>
    </row>
    <row r="48" spans="1:20" s="99" customFormat="1" x14ac:dyDescent="0.2">
      <c r="A48" s="105" t="s">
        <v>162</v>
      </c>
      <c r="B48" s="219" t="s">
        <v>75</v>
      </c>
      <c r="C48" s="90">
        <f>(250.95)*1000</f>
        <v>250950</v>
      </c>
      <c r="D48" s="145">
        <v>25000</v>
      </c>
      <c r="E48" s="106">
        <f>((3000)+23000)+10000</f>
        <v>36000</v>
      </c>
      <c r="F48" s="90">
        <f>(65240)+1000</f>
        <v>66240</v>
      </c>
      <c r="G48" s="106">
        <f t="shared" si="10"/>
        <v>20000</v>
      </c>
      <c r="H48" s="90">
        <f t="shared" si="11"/>
        <v>147240</v>
      </c>
      <c r="I48" s="83">
        <f t="shared" si="3"/>
        <v>147240</v>
      </c>
      <c r="J48" s="83"/>
      <c r="K48" s="83">
        <f t="shared" si="12"/>
        <v>147240</v>
      </c>
      <c r="L48" s="97">
        <f t="shared" si="1"/>
        <v>-103710</v>
      </c>
      <c r="M48" s="103"/>
      <c r="N48" s="90"/>
      <c r="O48" s="184">
        <v>10000</v>
      </c>
      <c r="P48" s="121">
        <v>2000</v>
      </c>
      <c r="Q48" s="121">
        <f>7000+1000</f>
        <v>8000</v>
      </c>
      <c r="R48" s="187">
        <f t="shared" si="4"/>
        <v>20000</v>
      </c>
      <c r="S48" s="185"/>
      <c r="T48" s="123"/>
    </row>
    <row r="49" spans="1:20" s="99" customFormat="1" x14ac:dyDescent="0.2">
      <c r="A49" s="105" t="s">
        <v>163</v>
      </c>
      <c r="B49" s="219" t="s">
        <v>77</v>
      </c>
      <c r="C49" s="90">
        <f>(324.45)*1000</f>
        <v>324450</v>
      </c>
      <c r="D49" s="145">
        <v>80000</v>
      </c>
      <c r="E49" s="106">
        <f>((6000)+6000)+32000</f>
        <v>44000</v>
      </c>
      <c r="F49" s="90">
        <v>86000</v>
      </c>
      <c r="G49" s="106">
        <f t="shared" si="10"/>
        <v>62000</v>
      </c>
      <c r="H49" s="90">
        <f t="shared" si="11"/>
        <v>272000</v>
      </c>
      <c r="I49" s="83">
        <f t="shared" si="3"/>
        <v>272000</v>
      </c>
      <c r="J49" s="83"/>
      <c r="K49" s="83">
        <f t="shared" si="12"/>
        <v>272000</v>
      </c>
      <c r="L49" s="97">
        <f t="shared" si="1"/>
        <v>-52450</v>
      </c>
      <c r="M49" s="103"/>
      <c r="N49" s="90"/>
      <c r="O49" s="184">
        <v>12000</v>
      </c>
      <c r="P49" s="121">
        <v>24000</v>
      </c>
      <c r="Q49" s="121">
        <v>26000</v>
      </c>
      <c r="R49" s="187">
        <f t="shared" si="4"/>
        <v>62000</v>
      </c>
      <c r="S49" s="185"/>
      <c r="T49" s="123"/>
    </row>
    <row r="50" spans="1:20" s="99" customFormat="1" x14ac:dyDescent="0.2">
      <c r="A50" s="105" t="s">
        <v>164</v>
      </c>
      <c r="B50" s="219" t="s">
        <v>80</v>
      </c>
      <c r="C50" s="90">
        <v>0</v>
      </c>
      <c r="D50" s="143"/>
      <c r="E50" s="106"/>
      <c r="F50" s="90">
        <v>6000</v>
      </c>
      <c r="G50" s="106">
        <f t="shared" si="10"/>
        <v>0</v>
      </c>
      <c r="H50" s="90">
        <f t="shared" si="11"/>
        <v>6000</v>
      </c>
      <c r="I50" s="83">
        <f t="shared" si="3"/>
        <v>6000</v>
      </c>
      <c r="J50" s="83"/>
      <c r="K50" s="83">
        <f t="shared" si="12"/>
        <v>6000</v>
      </c>
      <c r="L50" s="97">
        <f t="shared" si="1"/>
        <v>6000</v>
      </c>
      <c r="M50" s="103"/>
      <c r="N50" s="90"/>
      <c r="O50" s="184"/>
      <c r="P50" s="121"/>
      <c r="Q50" s="121"/>
      <c r="R50" s="187">
        <f t="shared" si="4"/>
        <v>0</v>
      </c>
      <c r="S50" s="185"/>
      <c r="T50" s="123"/>
    </row>
    <row r="51" spans="1:20" s="99" customFormat="1" x14ac:dyDescent="0.2">
      <c r="A51" s="105" t="s">
        <v>165</v>
      </c>
      <c r="B51" s="219" t="s">
        <v>83</v>
      </c>
      <c r="C51" s="90">
        <v>0</v>
      </c>
      <c r="D51" s="143"/>
      <c r="E51" s="106"/>
      <c r="F51" s="90"/>
      <c r="G51" s="106">
        <f t="shared" si="10"/>
        <v>0</v>
      </c>
      <c r="H51" s="90">
        <f t="shared" si="11"/>
        <v>0</v>
      </c>
      <c r="I51" s="83">
        <f t="shared" si="3"/>
        <v>0</v>
      </c>
      <c r="J51" s="83"/>
      <c r="K51" s="83">
        <f t="shared" si="12"/>
        <v>0</v>
      </c>
      <c r="L51" s="97">
        <f t="shared" si="1"/>
        <v>0</v>
      </c>
      <c r="M51" s="103"/>
      <c r="N51" s="90"/>
      <c r="O51" s="184"/>
      <c r="P51" s="121"/>
      <c r="Q51" s="121"/>
      <c r="R51" s="187">
        <f t="shared" si="4"/>
        <v>0</v>
      </c>
      <c r="S51" s="185"/>
      <c r="T51" s="123"/>
    </row>
    <row r="52" spans="1:20" s="99" customFormat="1" x14ac:dyDescent="0.2">
      <c r="A52" s="105" t="s">
        <v>166</v>
      </c>
      <c r="B52" s="219" t="s">
        <v>85</v>
      </c>
      <c r="C52" s="90">
        <f>(58.8)*1000</f>
        <v>58800</v>
      </c>
      <c r="D52" s="143"/>
      <c r="E52" s="106">
        <v>6000</v>
      </c>
      <c r="F52" s="90">
        <v>12000</v>
      </c>
      <c r="G52" s="106">
        <f t="shared" si="10"/>
        <v>0</v>
      </c>
      <c r="H52" s="90">
        <f t="shared" si="11"/>
        <v>18000</v>
      </c>
      <c r="I52" s="83">
        <f t="shared" si="3"/>
        <v>18000</v>
      </c>
      <c r="J52" s="83"/>
      <c r="K52" s="83">
        <f t="shared" si="12"/>
        <v>18000</v>
      </c>
      <c r="L52" s="97">
        <f t="shared" si="1"/>
        <v>-40800</v>
      </c>
      <c r="M52" s="103"/>
      <c r="N52" s="90"/>
      <c r="O52" s="184"/>
      <c r="P52" s="121"/>
      <c r="Q52" s="121"/>
      <c r="R52" s="187">
        <f t="shared" si="4"/>
        <v>0</v>
      </c>
      <c r="S52" s="185"/>
      <c r="T52" s="123"/>
    </row>
    <row r="53" spans="1:20" s="99" customFormat="1" x14ac:dyDescent="0.2">
      <c r="A53" s="105" t="s">
        <v>167</v>
      </c>
      <c r="B53" s="219" t="s">
        <v>88</v>
      </c>
      <c r="C53" s="90">
        <f>(512.6)*1000</f>
        <v>512600</v>
      </c>
      <c r="D53" s="145">
        <v>102250</v>
      </c>
      <c r="E53" s="106">
        <f>((42000)+42000)+32780</f>
        <v>116780</v>
      </c>
      <c r="F53" s="90">
        <v>108000</v>
      </c>
      <c r="G53" s="106">
        <f t="shared" si="10"/>
        <v>96000</v>
      </c>
      <c r="H53" s="90">
        <f t="shared" si="11"/>
        <v>423030</v>
      </c>
      <c r="I53" s="83">
        <f t="shared" si="3"/>
        <v>423030</v>
      </c>
      <c r="J53" s="83"/>
      <c r="K53" s="83"/>
      <c r="L53" s="97"/>
      <c r="M53" s="103"/>
      <c r="N53" s="90"/>
      <c r="O53" s="184">
        <v>36000</v>
      </c>
      <c r="P53" s="121">
        <v>30000</v>
      </c>
      <c r="Q53" s="121">
        <v>30000</v>
      </c>
      <c r="R53" s="187">
        <f t="shared" si="4"/>
        <v>96000</v>
      </c>
      <c r="S53" s="185"/>
      <c r="T53" s="123"/>
    </row>
    <row r="54" spans="1:20" s="99" customFormat="1" x14ac:dyDescent="0.2">
      <c r="A54" s="105" t="s">
        <v>200</v>
      </c>
      <c r="B54" s="219" t="s">
        <v>202</v>
      </c>
      <c r="C54" s="90">
        <f>(100.8)*1000</f>
        <v>100800</v>
      </c>
      <c r="D54" s="145">
        <v>62200</v>
      </c>
      <c r="E54" s="106">
        <f>((21300)+21100)+21300</f>
        <v>63700</v>
      </c>
      <c r="F54" s="90">
        <v>67000</v>
      </c>
      <c r="G54" s="106">
        <f t="shared" si="10"/>
        <v>71100</v>
      </c>
      <c r="H54" s="90">
        <f t="shared" si="11"/>
        <v>264000</v>
      </c>
      <c r="I54" s="83">
        <f t="shared" si="3"/>
        <v>264000</v>
      </c>
      <c r="J54" s="83"/>
      <c r="K54" s="83"/>
      <c r="L54" s="97"/>
      <c r="M54" s="103"/>
      <c r="N54" s="90"/>
      <c r="O54" s="184">
        <v>25200</v>
      </c>
      <c r="P54" s="121">
        <v>22500</v>
      </c>
      <c r="Q54" s="121">
        <v>23400</v>
      </c>
      <c r="R54" s="187">
        <f t="shared" si="4"/>
        <v>71100</v>
      </c>
      <c r="S54" s="185"/>
    </row>
    <row r="55" spans="1:20" s="99" customFormat="1" x14ac:dyDescent="0.2">
      <c r="A55" s="105" t="s">
        <v>219</v>
      </c>
      <c r="B55" s="219" t="s">
        <v>218</v>
      </c>
      <c r="C55" s="90">
        <f>(1786.05)*1000</f>
        <v>1786050</v>
      </c>
      <c r="D55" s="145">
        <v>505440</v>
      </c>
      <c r="E55" s="106">
        <f>((222000)+54000)+144000</f>
        <v>420000</v>
      </c>
      <c r="F55" s="90">
        <v>636000</v>
      </c>
      <c r="G55" s="106">
        <f t="shared" si="10"/>
        <v>414000</v>
      </c>
      <c r="H55" s="90">
        <f t="shared" si="11"/>
        <v>1975440</v>
      </c>
      <c r="I55" s="83">
        <f t="shared" si="3"/>
        <v>1975440</v>
      </c>
      <c r="J55" s="83"/>
      <c r="K55" s="83">
        <f t="shared" si="12"/>
        <v>1975440</v>
      </c>
      <c r="L55" s="97">
        <f t="shared" si="1"/>
        <v>189390</v>
      </c>
      <c r="M55" s="108"/>
      <c r="N55" s="90"/>
      <c r="O55" s="184">
        <v>168000</v>
      </c>
      <c r="P55" s="121">
        <v>54000</v>
      </c>
      <c r="Q55" s="121">
        <v>192000</v>
      </c>
      <c r="R55" s="187">
        <f t="shared" si="4"/>
        <v>414000</v>
      </c>
      <c r="S55" s="185"/>
    </row>
    <row r="56" spans="1:20" s="99" customFormat="1" x14ac:dyDescent="0.2">
      <c r="A56" s="105" t="s">
        <v>226</v>
      </c>
      <c r="B56" s="219" t="s">
        <v>222</v>
      </c>
      <c r="C56" s="90">
        <f>(78.75)*1000</f>
        <v>78750</v>
      </c>
      <c r="D56" s="145">
        <v>18000</v>
      </c>
      <c r="E56" s="106">
        <v>6000</v>
      </c>
      <c r="F56" s="90"/>
      <c r="G56" s="106">
        <f t="shared" si="10"/>
        <v>0</v>
      </c>
      <c r="H56" s="90">
        <f t="shared" si="11"/>
        <v>24000</v>
      </c>
      <c r="I56" s="83">
        <f t="shared" si="3"/>
        <v>24000</v>
      </c>
      <c r="J56" s="83"/>
      <c r="K56" s="83">
        <f t="shared" si="12"/>
        <v>24000</v>
      </c>
      <c r="L56" s="97">
        <f t="shared" si="1"/>
        <v>-54750</v>
      </c>
      <c r="M56" s="108"/>
      <c r="N56" s="90"/>
      <c r="O56" s="91"/>
      <c r="P56" s="121"/>
      <c r="Q56" s="121"/>
      <c r="R56" s="187">
        <f t="shared" si="4"/>
        <v>0</v>
      </c>
      <c r="S56" s="185"/>
    </row>
    <row r="57" spans="1:20" s="99" customFormat="1" x14ac:dyDescent="0.2">
      <c r="A57" s="105" t="s">
        <v>247</v>
      </c>
      <c r="B57" s="219" t="s">
        <v>223</v>
      </c>
      <c r="C57" s="90">
        <v>0</v>
      </c>
      <c r="D57" s="145">
        <v>54000</v>
      </c>
      <c r="E57" s="106">
        <f>(6000)+6000</f>
        <v>12000</v>
      </c>
      <c r="F57" s="90"/>
      <c r="G57" s="106">
        <f t="shared" si="10"/>
        <v>0</v>
      </c>
      <c r="H57" s="90">
        <f t="shared" si="11"/>
        <v>66000</v>
      </c>
      <c r="I57" s="83">
        <f t="shared" si="3"/>
        <v>66000</v>
      </c>
      <c r="J57" s="83"/>
      <c r="K57" s="83">
        <f t="shared" si="12"/>
        <v>66000</v>
      </c>
      <c r="L57" s="97">
        <f t="shared" si="1"/>
        <v>66000</v>
      </c>
      <c r="M57" s="108"/>
      <c r="N57" s="90"/>
      <c r="O57" s="91"/>
      <c r="P57" s="121"/>
      <c r="Q57" s="121"/>
      <c r="R57" s="187">
        <f t="shared" si="4"/>
        <v>0</v>
      </c>
      <c r="S57" s="185"/>
    </row>
    <row r="58" spans="1:20" s="99" customFormat="1" x14ac:dyDescent="0.2">
      <c r="A58" s="105" t="s">
        <v>251</v>
      </c>
      <c r="B58" s="219"/>
      <c r="C58" s="90"/>
      <c r="D58" s="145"/>
      <c r="E58" s="106">
        <f>6000</f>
        <v>6000</v>
      </c>
      <c r="F58" s="90">
        <v>6000</v>
      </c>
      <c r="G58" s="106">
        <f t="shared" si="10"/>
        <v>6000</v>
      </c>
      <c r="H58" s="90">
        <f t="shared" si="11"/>
        <v>18000</v>
      </c>
      <c r="I58" s="83">
        <f t="shared" si="3"/>
        <v>18000</v>
      </c>
      <c r="J58" s="83"/>
      <c r="K58" s="83">
        <f t="shared" si="12"/>
        <v>18000</v>
      </c>
      <c r="L58" s="97">
        <f t="shared" si="1"/>
        <v>18000</v>
      </c>
      <c r="M58" s="108"/>
      <c r="N58" s="90"/>
      <c r="O58" s="91"/>
      <c r="P58" s="121"/>
      <c r="Q58" s="121">
        <v>6000</v>
      </c>
      <c r="R58" s="187">
        <f t="shared" si="4"/>
        <v>6000</v>
      </c>
      <c r="S58" s="185"/>
    </row>
    <row r="59" spans="1:20" s="99" customFormat="1" x14ac:dyDescent="0.2">
      <c r="A59" s="105" t="s">
        <v>230</v>
      </c>
      <c r="B59" s="219"/>
      <c r="C59" s="90">
        <f>(2)*1000</f>
        <v>2000</v>
      </c>
      <c r="D59" s="144"/>
      <c r="E59" s="106"/>
      <c r="F59" s="90"/>
      <c r="G59" s="106">
        <f t="shared" si="10"/>
        <v>0</v>
      </c>
      <c r="H59" s="90">
        <f t="shared" si="11"/>
        <v>0</v>
      </c>
      <c r="I59" s="83">
        <f t="shared" si="3"/>
        <v>0</v>
      </c>
      <c r="J59" s="83"/>
      <c r="K59" s="83"/>
      <c r="L59" s="97"/>
      <c r="M59" s="108"/>
      <c r="N59" s="90"/>
      <c r="O59" s="91"/>
      <c r="P59" s="121"/>
      <c r="Q59" s="121"/>
      <c r="R59" s="187">
        <f t="shared" si="4"/>
        <v>0</v>
      </c>
      <c r="S59" s="185"/>
    </row>
    <row r="60" spans="1:20" s="100" customFormat="1" x14ac:dyDescent="0.2">
      <c r="A60" s="32" t="s">
        <v>10</v>
      </c>
      <c r="B60" s="218" t="s">
        <v>187</v>
      </c>
      <c r="C60" s="104">
        <f>SUM(C61:C65)</f>
        <v>8800</v>
      </c>
      <c r="D60" s="104">
        <f>SUM(D61:D65)</f>
        <v>5126</v>
      </c>
      <c r="E60" s="104">
        <f>SUM(E61:E65)</f>
        <v>5065</v>
      </c>
      <c r="F60" s="104">
        <f>SUM(F61:F65)</f>
        <v>1562</v>
      </c>
      <c r="G60" s="104">
        <f>SUM(G61:G65)</f>
        <v>0</v>
      </c>
      <c r="H60" s="104">
        <f t="shared" si="11"/>
        <v>11753</v>
      </c>
      <c r="I60" s="88">
        <f>D60+E60+F60+G60</f>
        <v>11753</v>
      </c>
      <c r="J60" s="104"/>
      <c r="K60" s="104">
        <f t="shared" si="12"/>
        <v>11753</v>
      </c>
      <c r="L60" s="104">
        <f t="shared" si="1"/>
        <v>2953</v>
      </c>
      <c r="M60" s="88">
        <f>L60/C60</f>
        <v>0.33556818181818182</v>
      </c>
      <c r="N60" s="97"/>
      <c r="O60" s="91"/>
      <c r="P60" s="120"/>
      <c r="Q60" s="120"/>
      <c r="S60" s="185"/>
    </row>
    <row r="61" spans="1:20" s="99" customFormat="1" x14ac:dyDescent="0.2">
      <c r="A61" s="105" t="s">
        <v>168</v>
      </c>
      <c r="B61" s="219" t="s">
        <v>93</v>
      </c>
      <c r="C61" s="90"/>
      <c r="D61" s="90"/>
      <c r="E61" s="106"/>
      <c r="F61" s="90"/>
      <c r="G61" s="106">
        <f t="shared" ref="G61:G65" si="13">R61</f>
        <v>0</v>
      </c>
      <c r="H61" s="90">
        <f t="shared" si="11"/>
        <v>0</v>
      </c>
      <c r="I61" s="83">
        <f t="shared" si="3"/>
        <v>0</v>
      </c>
      <c r="J61" s="83"/>
      <c r="K61" s="83">
        <f t="shared" si="12"/>
        <v>0</v>
      </c>
      <c r="L61" s="97">
        <f t="shared" si="1"/>
        <v>0</v>
      </c>
      <c r="M61" s="103"/>
      <c r="N61" s="90"/>
      <c r="O61" s="91"/>
      <c r="P61" s="121"/>
      <c r="Q61" s="121"/>
      <c r="R61" s="187">
        <f t="shared" si="4"/>
        <v>0</v>
      </c>
      <c r="S61" s="185"/>
    </row>
    <row r="62" spans="1:20" s="99" customFormat="1" x14ac:dyDescent="0.2">
      <c r="A62" s="105" t="s">
        <v>169</v>
      </c>
      <c r="B62" s="219" t="s">
        <v>96</v>
      </c>
      <c r="C62" s="90"/>
      <c r="D62" s="90">
        <v>126</v>
      </c>
      <c r="E62" s="106">
        <f>65</f>
        <v>65</v>
      </c>
      <c r="F62" s="90">
        <f>(428)+134</f>
        <v>562</v>
      </c>
      <c r="G62" s="106">
        <f t="shared" si="13"/>
        <v>0</v>
      </c>
      <c r="H62" s="90">
        <f t="shared" si="11"/>
        <v>753</v>
      </c>
      <c r="I62" s="83">
        <f t="shared" si="3"/>
        <v>753</v>
      </c>
      <c r="J62" s="83"/>
      <c r="K62" s="83">
        <f t="shared" si="12"/>
        <v>753</v>
      </c>
      <c r="L62" s="97">
        <f t="shared" si="1"/>
        <v>753</v>
      </c>
      <c r="M62" s="103"/>
      <c r="N62" s="90"/>
      <c r="O62" s="91"/>
      <c r="P62" s="121"/>
      <c r="Q62" s="121"/>
      <c r="R62" s="187">
        <f t="shared" si="4"/>
        <v>0</v>
      </c>
      <c r="S62" s="185"/>
    </row>
    <row r="63" spans="1:20" s="99" customFormat="1" x14ac:dyDescent="0.2">
      <c r="A63" s="105" t="s">
        <v>232</v>
      </c>
      <c r="B63" s="219" t="s">
        <v>97</v>
      </c>
      <c r="C63" s="90">
        <f>(8.8)*1000</f>
        <v>8800</v>
      </c>
      <c r="D63" s="146">
        <v>5000</v>
      </c>
      <c r="E63" s="106">
        <f>(1500)+3500</f>
        <v>5000</v>
      </c>
      <c r="F63" s="90">
        <f>500+500</f>
        <v>1000</v>
      </c>
      <c r="G63" s="106">
        <f t="shared" si="13"/>
        <v>0</v>
      </c>
      <c r="H63" s="90">
        <f t="shared" si="11"/>
        <v>11000</v>
      </c>
      <c r="I63" s="83">
        <f t="shared" si="3"/>
        <v>11000</v>
      </c>
      <c r="J63" s="83"/>
      <c r="K63" s="83">
        <f t="shared" si="12"/>
        <v>11000</v>
      </c>
      <c r="L63" s="97">
        <f t="shared" si="1"/>
        <v>2200</v>
      </c>
      <c r="M63" s="103"/>
      <c r="N63" s="90"/>
      <c r="O63" s="91"/>
      <c r="P63" s="121"/>
      <c r="Q63" s="121"/>
      <c r="R63" s="187">
        <f t="shared" si="4"/>
        <v>0</v>
      </c>
      <c r="S63" s="185"/>
    </row>
    <row r="64" spans="1:20" s="99" customFormat="1" x14ac:dyDescent="0.2">
      <c r="A64" s="105" t="s">
        <v>18</v>
      </c>
      <c r="B64" s="219" t="s">
        <v>188</v>
      </c>
      <c r="C64" s="90"/>
      <c r="D64" s="90"/>
      <c r="E64" s="106"/>
      <c r="F64" s="90"/>
      <c r="G64" s="106">
        <f t="shared" si="13"/>
        <v>0</v>
      </c>
      <c r="H64" s="90">
        <f t="shared" si="11"/>
        <v>0</v>
      </c>
      <c r="I64" s="83">
        <f t="shared" si="3"/>
        <v>0</v>
      </c>
      <c r="J64" s="83"/>
      <c r="K64" s="83">
        <f t="shared" si="12"/>
        <v>0</v>
      </c>
      <c r="L64" s="97">
        <f t="shared" si="1"/>
        <v>0</v>
      </c>
      <c r="M64" s="103"/>
      <c r="N64" s="90"/>
      <c r="O64" s="91"/>
      <c r="P64" s="121"/>
      <c r="Q64" s="121"/>
      <c r="R64" s="187">
        <f t="shared" si="4"/>
        <v>0</v>
      </c>
      <c r="S64" s="185"/>
    </row>
    <row r="65" spans="1:20" s="99" customFormat="1" x14ac:dyDescent="0.2">
      <c r="A65" s="105" t="s">
        <v>19</v>
      </c>
      <c r="B65" s="219" t="s">
        <v>104</v>
      </c>
      <c r="C65" s="90"/>
      <c r="D65" s="90"/>
      <c r="E65" s="106"/>
      <c r="F65" s="90"/>
      <c r="G65" s="106">
        <f t="shared" si="13"/>
        <v>0</v>
      </c>
      <c r="H65" s="90">
        <f t="shared" si="11"/>
        <v>0</v>
      </c>
      <c r="I65" s="83">
        <f t="shared" si="3"/>
        <v>0</v>
      </c>
      <c r="J65" s="83"/>
      <c r="K65" s="83">
        <f t="shared" si="12"/>
        <v>0</v>
      </c>
      <c r="L65" s="97">
        <f t="shared" si="1"/>
        <v>0</v>
      </c>
      <c r="M65" s="103"/>
      <c r="N65" s="90"/>
      <c r="O65" s="91"/>
      <c r="P65" s="121"/>
      <c r="Q65" s="121"/>
      <c r="R65" s="187">
        <f t="shared" si="4"/>
        <v>0</v>
      </c>
      <c r="S65" s="185"/>
      <c r="T65" s="185"/>
    </row>
    <row r="66" spans="1:20" s="100" customFormat="1" x14ac:dyDescent="0.2">
      <c r="A66" s="32" t="s">
        <v>50</v>
      </c>
      <c r="B66" s="218" t="s">
        <v>189</v>
      </c>
      <c r="C66" s="104">
        <f>SUM(C67:C69)</f>
        <v>244650</v>
      </c>
      <c r="D66" s="104">
        <f>SUM(D67:D69)</f>
        <v>55945</v>
      </c>
      <c r="E66" s="104">
        <f>SUM(E67:E69)</f>
        <v>38535</v>
      </c>
      <c r="F66" s="104">
        <f>SUM(F67:F69)</f>
        <v>82955</v>
      </c>
      <c r="G66" s="104">
        <f>SUM(G67:G69)</f>
        <v>23750</v>
      </c>
      <c r="H66" s="104">
        <f t="shared" si="11"/>
        <v>201185</v>
      </c>
      <c r="I66" s="88">
        <f>D66+E66+F66+G66</f>
        <v>201185</v>
      </c>
      <c r="J66" s="104"/>
      <c r="K66" s="104">
        <f t="shared" si="12"/>
        <v>201185</v>
      </c>
      <c r="L66" s="104">
        <f t="shared" si="1"/>
        <v>-43465</v>
      </c>
      <c r="M66" s="88">
        <f>L66/C66</f>
        <v>-0.17766196607398324</v>
      </c>
      <c r="N66" s="97"/>
      <c r="O66" s="91"/>
      <c r="P66" s="120"/>
      <c r="Q66" s="120"/>
      <c r="R66" s="187">
        <f t="shared" si="4"/>
        <v>0</v>
      </c>
      <c r="S66" s="185"/>
      <c r="T66" s="185"/>
    </row>
    <row r="67" spans="1:20" s="99" customFormat="1" x14ac:dyDescent="0.2">
      <c r="A67" s="105" t="s">
        <v>170</v>
      </c>
      <c r="B67" s="219" t="s">
        <v>99</v>
      </c>
      <c r="C67" s="90"/>
      <c r="D67" s="90"/>
      <c r="E67" s="106"/>
      <c r="F67" s="90"/>
      <c r="G67" s="106"/>
      <c r="H67" s="90">
        <f t="shared" si="11"/>
        <v>0</v>
      </c>
      <c r="I67" s="83">
        <f t="shared" si="3"/>
        <v>0</v>
      </c>
      <c r="J67" s="83"/>
      <c r="K67" s="83">
        <f t="shared" si="12"/>
        <v>0</v>
      </c>
      <c r="L67" s="97">
        <f t="shared" si="1"/>
        <v>0</v>
      </c>
      <c r="M67" s="103"/>
      <c r="N67" s="90"/>
      <c r="O67" s="91"/>
      <c r="P67" s="121"/>
      <c r="Q67" s="121"/>
      <c r="R67" s="187">
        <f t="shared" si="4"/>
        <v>0</v>
      </c>
      <c r="S67" s="185"/>
    </row>
    <row r="68" spans="1:20" s="99" customFormat="1" x14ac:dyDescent="0.2">
      <c r="A68" s="105" t="s">
        <v>171</v>
      </c>
      <c r="B68" s="219" t="s">
        <v>103</v>
      </c>
      <c r="C68" s="90">
        <f>(36.75)*1000</f>
        <v>36750</v>
      </c>
      <c r="D68" s="146">
        <v>6000</v>
      </c>
      <c r="E68" s="106">
        <f>((2100)+4200)+2700</f>
        <v>9000</v>
      </c>
      <c r="F68" s="90">
        <v>9300</v>
      </c>
      <c r="G68" s="106">
        <f t="shared" ref="G68:G69" si="14">R68</f>
        <v>6000</v>
      </c>
      <c r="H68" s="90">
        <f t="shared" si="11"/>
        <v>30300</v>
      </c>
      <c r="I68" s="83">
        <f t="shared" si="3"/>
        <v>30300</v>
      </c>
      <c r="J68" s="83"/>
      <c r="K68" s="83">
        <f t="shared" si="12"/>
        <v>30300</v>
      </c>
      <c r="L68" s="97">
        <f>+H68-C68</f>
        <v>-6450</v>
      </c>
      <c r="M68" s="103"/>
      <c r="N68" s="90"/>
      <c r="O68" s="184">
        <v>1200</v>
      </c>
      <c r="P68" s="121">
        <v>2400</v>
      </c>
      <c r="Q68" s="121">
        <v>2400</v>
      </c>
      <c r="R68" s="187">
        <f t="shared" si="4"/>
        <v>6000</v>
      </c>
      <c r="S68" s="185"/>
    </row>
    <row r="69" spans="1:20" s="99" customFormat="1" x14ac:dyDescent="0.2">
      <c r="A69" s="105" t="s">
        <v>172</v>
      </c>
      <c r="B69" s="219" t="s">
        <v>106</v>
      </c>
      <c r="C69" s="90">
        <f>(207.9)*1000</f>
        <v>207900</v>
      </c>
      <c r="D69" s="146">
        <v>49945</v>
      </c>
      <c r="E69" s="106">
        <f>((14760)+4360)+10415</f>
        <v>29535</v>
      </c>
      <c r="F69" s="90">
        <v>73655</v>
      </c>
      <c r="G69" s="106">
        <f t="shared" si="14"/>
        <v>17750</v>
      </c>
      <c r="H69" s="90">
        <f t="shared" si="11"/>
        <v>170885</v>
      </c>
      <c r="I69" s="83">
        <f t="shared" si="3"/>
        <v>170885</v>
      </c>
      <c r="J69" s="83"/>
      <c r="K69" s="83">
        <f t="shared" si="12"/>
        <v>170885</v>
      </c>
      <c r="L69" s="97">
        <f t="shared" si="1"/>
        <v>-37015</v>
      </c>
      <c r="M69" s="103"/>
      <c r="N69" s="90"/>
      <c r="O69" s="184">
        <v>3735</v>
      </c>
      <c r="P69" s="121">
        <v>2860</v>
      </c>
      <c r="Q69" s="121">
        <v>11155</v>
      </c>
      <c r="R69" s="187">
        <f t="shared" si="4"/>
        <v>17750</v>
      </c>
      <c r="S69" s="185"/>
    </row>
    <row r="70" spans="1:20" s="100" customFormat="1" x14ac:dyDescent="0.2">
      <c r="A70" s="32" t="s">
        <v>53</v>
      </c>
      <c r="B70" s="218" t="s">
        <v>110</v>
      </c>
      <c r="C70" s="104">
        <v>0</v>
      </c>
      <c r="D70" s="104">
        <v>0</v>
      </c>
      <c r="E70" s="128">
        <v>0</v>
      </c>
      <c r="F70" s="104">
        <v>0</v>
      </c>
      <c r="G70" s="128">
        <v>0</v>
      </c>
      <c r="H70" s="104">
        <f t="shared" si="11"/>
        <v>0</v>
      </c>
      <c r="I70" s="104"/>
      <c r="J70" s="104"/>
      <c r="K70" s="104">
        <f>+I70+J70</f>
        <v>0</v>
      </c>
      <c r="L70" s="104">
        <f t="shared" si="1"/>
        <v>0</v>
      </c>
      <c r="M70" s="88" t="e">
        <f>L70/C70</f>
        <v>#DIV/0!</v>
      </c>
      <c r="N70" s="97"/>
      <c r="O70" s="91"/>
      <c r="S70" s="185"/>
    </row>
    <row r="71" spans="1:20" s="100" customFormat="1" x14ac:dyDescent="0.2">
      <c r="A71" s="32" t="s">
        <v>57</v>
      </c>
      <c r="B71" s="218" t="s">
        <v>112</v>
      </c>
      <c r="C71" s="104">
        <v>0</v>
      </c>
      <c r="D71" s="104">
        <v>0</v>
      </c>
      <c r="E71" s="128">
        <v>0</v>
      </c>
      <c r="F71" s="104">
        <v>0</v>
      </c>
      <c r="G71" s="128">
        <v>0</v>
      </c>
      <c r="H71" s="104">
        <f t="shared" si="11"/>
        <v>0</v>
      </c>
      <c r="I71" s="104"/>
      <c r="J71" s="104"/>
      <c r="K71" s="104">
        <f>+I71+J71</f>
        <v>0</v>
      </c>
      <c r="L71" s="104">
        <f t="shared" si="1"/>
        <v>0</v>
      </c>
      <c r="M71" s="88" t="e">
        <f>L71/C71</f>
        <v>#DIV/0!</v>
      </c>
      <c r="N71" s="97"/>
      <c r="O71" s="91"/>
      <c r="S71" s="185"/>
    </row>
    <row r="72" spans="1:20" s="99" customFormat="1" x14ac:dyDescent="0.2">
      <c r="A72" s="109"/>
      <c r="B72" s="217"/>
      <c r="C72" s="90"/>
      <c r="D72" s="90"/>
      <c r="E72" s="106"/>
      <c r="F72" s="90"/>
      <c r="G72" s="106"/>
      <c r="H72" s="90"/>
      <c r="I72" s="90"/>
      <c r="J72" s="90"/>
      <c r="K72" s="90"/>
      <c r="L72" s="97"/>
      <c r="M72" s="103"/>
      <c r="N72" s="90"/>
      <c r="O72" s="91"/>
      <c r="S72" s="185"/>
    </row>
    <row r="73" spans="1:20" s="100" customFormat="1" x14ac:dyDescent="0.2">
      <c r="A73" s="110" t="s">
        <v>173</v>
      </c>
      <c r="B73" s="220"/>
      <c r="C73" s="104">
        <f>SUM(C74:C77)</f>
        <v>0</v>
      </c>
      <c r="D73" s="104">
        <f>SUM(D74:D77)</f>
        <v>687539.16999999993</v>
      </c>
      <c r="E73" s="104">
        <f>SUM(E74:E77)</f>
        <v>351530.09</v>
      </c>
      <c r="F73" s="104">
        <f>SUM(F74:F77)</f>
        <v>161257.84999999998</v>
      </c>
      <c r="G73" s="104">
        <f>SUM(G74:G77)</f>
        <v>114911.11000000002</v>
      </c>
      <c r="H73" s="104">
        <f>SUM(D73:G73)</f>
        <v>1315238.22</v>
      </c>
      <c r="I73" s="88">
        <f>D73+E73+F73+G73</f>
        <v>1315238.22</v>
      </c>
      <c r="J73" s="104"/>
      <c r="K73" s="104">
        <f>+I73+J73</f>
        <v>1315238.22</v>
      </c>
      <c r="L73" s="104">
        <f t="shared" si="1"/>
        <v>1315238.22</v>
      </c>
      <c r="M73" s="88" t="e">
        <f>L73/C73</f>
        <v>#DIV/0!</v>
      </c>
      <c r="N73" s="97"/>
      <c r="O73" s="91"/>
      <c r="S73" s="185"/>
    </row>
    <row r="74" spans="1:20" s="99" customFormat="1" x14ac:dyDescent="0.2">
      <c r="A74" s="111" t="s">
        <v>174</v>
      </c>
      <c r="B74" s="216" t="s">
        <v>190</v>
      </c>
      <c r="C74" s="90"/>
      <c r="D74" s="90">
        <v>29059.15</v>
      </c>
      <c r="E74" s="106">
        <v>48501.630000000005</v>
      </c>
      <c r="F74" s="90">
        <v>161257.84999999998</v>
      </c>
      <c r="G74" s="106">
        <v>112511.11000000002</v>
      </c>
      <c r="H74" s="90">
        <f>SUM(D74:G74)</f>
        <v>351329.74</v>
      </c>
      <c r="I74" s="83">
        <f t="shared" ref="I74:I76" si="15">H74</f>
        <v>351329.74</v>
      </c>
      <c r="J74" s="90"/>
      <c r="K74" s="83">
        <f>I74+J74</f>
        <v>351329.74</v>
      </c>
      <c r="L74" s="97">
        <f t="shared" si="1"/>
        <v>351329.74</v>
      </c>
      <c r="M74" s="103"/>
      <c r="N74" s="90"/>
      <c r="O74" s="184">
        <v>5285.85</v>
      </c>
      <c r="P74" s="121">
        <v>27669.05</v>
      </c>
      <c r="Q74" s="121">
        <v>79556.210000000006</v>
      </c>
      <c r="R74" s="187">
        <f t="shared" ref="R74:R77" si="16">SUM(O74:Q74)</f>
        <v>112511.11000000002</v>
      </c>
      <c r="S74" s="185"/>
    </row>
    <row r="75" spans="1:20" s="99" customFormat="1" x14ac:dyDescent="0.2">
      <c r="A75" s="111" t="s">
        <v>233</v>
      </c>
      <c r="B75" s="216" t="s">
        <v>192</v>
      </c>
      <c r="C75" s="90"/>
      <c r="D75" s="90">
        <f>(658480.02)-154186.94</f>
        <v>504293.08</v>
      </c>
      <c r="E75" s="106">
        <v>225500.89</v>
      </c>
      <c r="F75" s="90"/>
      <c r="G75" s="106"/>
      <c r="H75" s="90">
        <f>SUM(D75:G75)</f>
        <v>729793.97</v>
      </c>
      <c r="I75" s="83">
        <f t="shared" si="15"/>
        <v>729793.97</v>
      </c>
      <c r="J75" s="90"/>
      <c r="K75" s="83">
        <f>I75+J75</f>
        <v>729793.97</v>
      </c>
      <c r="L75" s="97">
        <f t="shared" si="1"/>
        <v>729793.97</v>
      </c>
      <c r="M75" s="103"/>
      <c r="N75" s="90"/>
      <c r="O75" s="91"/>
      <c r="R75" s="187">
        <f t="shared" si="16"/>
        <v>0</v>
      </c>
      <c r="S75" s="185"/>
    </row>
    <row r="76" spans="1:20" s="99" customFormat="1" x14ac:dyDescent="0.2">
      <c r="A76" s="111" t="s">
        <v>175</v>
      </c>
      <c r="B76" s="216" t="s">
        <v>191</v>
      </c>
      <c r="C76" s="90"/>
      <c r="D76" s="90">
        <v>154186.94</v>
      </c>
      <c r="E76" s="106">
        <f>(38252.02)+39275.55</f>
        <v>77527.570000000007</v>
      </c>
      <c r="F76" s="90"/>
      <c r="G76" s="106"/>
      <c r="H76" s="90">
        <f>SUM(D76:G76)</f>
        <v>231714.51</v>
      </c>
      <c r="I76" s="83">
        <f t="shared" si="15"/>
        <v>231714.51</v>
      </c>
      <c r="J76" s="90"/>
      <c r="K76" s="83">
        <f>I76+J76</f>
        <v>231714.51</v>
      </c>
      <c r="L76" s="97">
        <f t="shared" si="1"/>
        <v>231714.51</v>
      </c>
      <c r="M76" s="103"/>
      <c r="N76" s="90"/>
      <c r="O76" s="91"/>
      <c r="R76" s="187">
        <f t="shared" si="16"/>
        <v>0</v>
      </c>
      <c r="S76" s="185"/>
    </row>
    <row r="77" spans="1:20" s="99" customFormat="1" x14ac:dyDescent="0.2">
      <c r="A77" s="111" t="s">
        <v>275</v>
      </c>
      <c r="B77" s="221" t="s">
        <v>276</v>
      </c>
      <c r="C77" s="90"/>
      <c r="D77" s="90"/>
      <c r="E77" s="106"/>
      <c r="F77" s="90"/>
      <c r="G77" s="106">
        <v>2400</v>
      </c>
      <c r="H77" s="90">
        <f>SUM(D77:G77)</f>
        <v>2400</v>
      </c>
      <c r="I77" s="90"/>
      <c r="J77" s="90"/>
      <c r="K77" s="83">
        <f>I77+J77</f>
        <v>0</v>
      </c>
      <c r="L77" s="97">
        <f t="shared" si="1"/>
        <v>2400</v>
      </c>
      <c r="M77" s="103"/>
      <c r="N77" s="90"/>
      <c r="O77" s="91"/>
      <c r="R77" s="187">
        <f t="shared" si="16"/>
        <v>0</v>
      </c>
      <c r="S77" s="185"/>
    </row>
    <row r="78" spans="1:20" s="99" customFormat="1" x14ac:dyDescent="0.2">
      <c r="A78" s="109"/>
      <c r="B78" s="217"/>
      <c r="C78" s="90"/>
      <c r="D78" s="90"/>
      <c r="E78" s="106"/>
      <c r="F78" s="90"/>
      <c r="G78" s="106"/>
      <c r="H78" s="90"/>
      <c r="I78" s="90"/>
      <c r="J78" s="90"/>
      <c r="K78" s="90"/>
      <c r="L78" s="97"/>
      <c r="M78" s="103"/>
      <c r="N78" s="90"/>
      <c r="O78" s="91"/>
    </row>
    <row r="79" spans="1:20" s="99" customFormat="1" x14ac:dyDescent="0.2">
      <c r="A79" s="112"/>
      <c r="B79" s="217"/>
      <c r="C79" s="90"/>
      <c r="D79" s="90"/>
      <c r="E79" s="106"/>
      <c r="F79" s="90"/>
      <c r="G79" s="106"/>
      <c r="H79" s="90"/>
      <c r="I79" s="90"/>
      <c r="J79" s="90"/>
      <c r="K79" s="90"/>
      <c r="L79" s="90"/>
      <c r="M79" s="103"/>
      <c r="N79" s="90"/>
      <c r="O79" s="91"/>
    </row>
    <row r="80" spans="1:20" s="100" customFormat="1" x14ac:dyDescent="0.2">
      <c r="A80" s="113" t="s">
        <v>176</v>
      </c>
      <c r="B80" s="220"/>
      <c r="C80" s="104">
        <f>C87</f>
        <v>0</v>
      </c>
      <c r="D80" s="104">
        <f>D87</f>
        <v>0</v>
      </c>
      <c r="E80" s="104">
        <f>E87</f>
        <v>0</v>
      </c>
      <c r="F80" s="104">
        <f>F87</f>
        <v>0</v>
      </c>
      <c r="G80" s="104">
        <f>G87</f>
        <v>0</v>
      </c>
      <c r="H80" s="104">
        <f>SUM(D80:G80)</f>
        <v>0</v>
      </c>
      <c r="I80" s="104"/>
      <c r="J80" s="104"/>
      <c r="K80" s="104">
        <f>I80+J80</f>
        <v>0</v>
      </c>
      <c r="L80" s="104">
        <f>+H80-C80</f>
        <v>0</v>
      </c>
      <c r="M80" s="88" t="e">
        <f>L80/C80</f>
        <v>#DIV/0!</v>
      </c>
      <c r="N80" s="97"/>
      <c r="O80" s="91"/>
    </row>
    <row r="81" spans="1:15" s="99" customFormat="1" x14ac:dyDescent="0.2">
      <c r="A81" s="113" t="s">
        <v>177</v>
      </c>
      <c r="B81" s="217"/>
      <c r="C81" s="90"/>
      <c r="D81" s="90"/>
      <c r="E81" s="106"/>
      <c r="F81" s="90"/>
      <c r="G81" s="106"/>
      <c r="H81" s="90"/>
      <c r="I81" s="90"/>
      <c r="J81" s="90"/>
      <c r="K81" s="90"/>
      <c r="L81" s="90"/>
      <c r="M81" s="103"/>
      <c r="N81" s="90"/>
      <c r="O81" s="91"/>
    </row>
    <row r="82" spans="1:15" s="99" customFormat="1" x14ac:dyDescent="0.2">
      <c r="A82" s="114"/>
      <c r="B82" s="217"/>
      <c r="C82" s="90"/>
      <c r="D82" s="90"/>
      <c r="E82" s="106"/>
      <c r="F82" s="90"/>
      <c r="G82" s="106"/>
      <c r="H82" s="90"/>
      <c r="I82" s="90"/>
      <c r="J82" s="90"/>
      <c r="K82" s="90"/>
      <c r="L82" s="90"/>
      <c r="M82" s="103"/>
      <c r="N82" s="90"/>
      <c r="O82" s="91"/>
    </row>
    <row r="83" spans="1:15" s="99" customFormat="1" x14ac:dyDescent="0.2">
      <c r="A83" s="115" t="s">
        <v>141</v>
      </c>
      <c r="B83" s="217"/>
      <c r="C83" s="90"/>
      <c r="D83" s="90"/>
      <c r="E83" s="106"/>
      <c r="F83" s="90"/>
      <c r="G83" s="106"/>
      <c r="H83" s="90"/>
      <c r="I83" s="90"/>
      <c r="J83" s="90"/>
      <c r="K83" s="90"/>
      <c r="L83" s="90"/>
      <c r="M83" s="103"/>
      <c r="N83" s="90"/>
      <c r="O83" s="91"/>
    </row>
    <row r="84" spans="1:15" s="99" customFormat="1" x14ac:dyDescent="0.2">
      <c r="A84" s="114"/>
      <c r="B84" s="217"/>
      <c r="C84" s="90"/>
      <c r="D84" s="90"/>
      <c r="E84" s="106"/>
      <c r="F84" s="90"/>
      <c r="G84" s="106"/>
      <c r="H84" s="90"/>
      <c r="I84" s="90"/>
      <c r="J84" s="90"/>
      <c r="K84" s="90"/>
      <c r="L84" s="90"/>
      <c r="M84" s="103"/>
      <c r="N84" s="90"/>
      <c r="O84" s="91"/>
    </row>
    <row r="85" spans="1:15" s="100" customFormat="1" x14ac:dyDescent="0.2">
      <c r="A85" s="115" t="s">
        <v>142</v>
      </c>
      <c r="B85" s="216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8"/>
      <c r="N85" s="97"/>
      <c r="O85" s="91"/>
    </row>
    <row r="86" spans="1:15" s="99" customFormat="1" x14ac:dyDescent="0.2">
      <c r="A86" s="115"/>
      <c r="B86" s="217"/>
      <c r="C86" s="90"/>
      <c r="D86" s="90"/>
      <c r="E86" s="106"/>
      <c r="F86" s="90"/>
      <c r="G86" s="106"/>
      <c r="H86" s="90"/>
      <c r="I86" s="90"/>
      <c r="J86" s="90"/>
      <c r="K86" s="90"/>
      <c r="L86" s="90"/>
      <c r="M86" s="103"/>
      <c r="N86" s="90"/>
      <c r="O86" s="91"/>
    </row>
    <row r="87" spans="1:15" s="100" customFormat="1" x14ac:dyDescent="0.2">
      <c r="A87" s="110" t="s">
        <v>186</v>
      </c>
      <c r="B87" s="216" t="s">
        <v>193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f>SUM(D87:G87)</f>
        <v>0</v>
      </c>
      <c r="I87" s="97"/>
      <c r="J87" s="97"/>
      <c r="K87" s="97">
        <f>+I87+J87</f>
        <v>0</v>
      </c>
      <c r="L87" s="97">
        <f>+H87-C87</f>
        <v>0</v>
      </c>
      <c r="M87" s="98"/>
      <c r="N87" s="126"/>
      <c r="O87" s="91"/>
    </row>
    <row r="88" spans="1:15" s="99" customFormat="1" x14ac:dyDescent="0.2">
      <c r="A88" s="112" t="s">
        <v>178</v>
      </c>
      <c r="B88" s="217"/>
      <c r="C88" s="90"/>
      <c r="D88" s="90"/>
      <c r="E88" s="106"/>
      <c r="F88" s="90"/>
      <c r="G88" s="106"/>
      <c r="H88" s="90"/>
      <c r="I88" s="90"/>
      <c r="J88" s="90"/>
      <c r="K88" s="90"/>
      <c r="L88" s="90"/>
      <c r="M88" s="103"/>
      <c r="N88" s="90"/>
      <c r="O88" s="91"/>
    </row>
    <row r="89" spans="1:15" s="99" customFormat="1" x14ac:dyDescent="0.2">
      <c r="A89" s="112"/>
      <c r="B89" s="217"/>
      <c r="C89" s="90"/>
      <c r="D89" s="90"/>
      <c r="E89" s="106"/>
      <c r="F89" s="90"/>
      <c r="G89" s="106"/>
      <c r="H89" s="90"/>
      <c r="I89" s="90"/>
      <c r="J89" s="90"/>
      <c r="K89" s="90"/>
      <c r="L89" s="90"/>
      <c r="M89" s="103"/>
      <c r="N89" s="90"/>
      <c r="O89" s="91"/>
    </row>
    <row r="90" spans="1:15" s="100" customFormat="1" x14ac:dyDescent="0.2">
      <c r="A90" s="113" t="s">
        <v>179</v>
      </c>
      <c r="B90" s="220"/>
      <c r="C90" s="104">
        <f>SUM(C91:C96)</f>
        <v>0</v>
      </c>
      <c r="D90" s="104">
        <f>SUM(D91:D96)</f>
        <v>0</v>
      </c>
      <c r="E90" s="104">
        <f>SUM(E91:E96)</f>
        <v>0</v>
      </c>
      <c r="F90" s="104">
        <f>SUM(F91:F96)</f>
        <v>0</v>
      </c>
      <c r="G90" s="104">
        <f>SUM(G91:G96)</f>
        <v>0</v>
      </c>
      <c r="H90" s="104">
        <f>SUM(D90:G90)</f>
        <v>0</v>
      </c>
      <c r="I90" s="104"/>
      <c r="J90" s="104"/>
      <c r="K90" s="104">
        <f>+I90+J90</f>
        <v>0</v>
      </c>
      <c r="L90" s="104">
        <f>+H90-C90</f>
        <v>0</v>
      </c>
      <c r="M90" s="88" t="e">
        <f>L90/C90</f>
        <v>#DIV/0!</v>
      </c>
      <c r="N90" s="97"/>
      <c r="O90" s="91"/>
    </row>
    <row r="91" spans="1:15" s="99" customFormat="1" x14ac:dyDescent="0.2">
      <c r="A91" s="116"/>
      <c r="B91" s="217"/>
      <c r="C91" s="90"/>
      <c r="D91" s="90"/>
      <c r="E91" s="106"/>
      <c r="F91" s="90"/>
      <c r="G91" s="106"/>
      <c r="H91" s="90"/>
      <c r="I91" s="90"/>
      <c r="J91" s="90"/>
      <c r="K91" s="90"/>
      <c r="L91" s="90"/>
      <c r="M91" s="103"/>
      <c r="N91" s="90"/>
      <c r="O91" s="91"/>
    </row>
    <row r="92" spans="1:15" s="99" customFormat="1" x14ac:dyDescent="0.2">
      <c r="A92" s="116"/>
      <c r="B92" s="217"/>
      <c r="C92" s="90"/>
      <c r="D92" s="90"/>
      <c r="E92" s="106"/>
      <c r="F92" s="90"/>
      <c r="G92" s="106"/>
      <c r="H92" s="90"/>
      <c r="I92" s="90"/>
      <c r="J92" s="90"/>
      <c r="K92" s="90"/>
      <c r="L92" s="90"/>
      <c r="M92" s="103"/>
      <c r="N92" s="90"/>
      <c r="O92" s="91"/>
    </row>
    <row r="93" spans="1:15" s="99" customFormat="1" x14ac:dyDescent="0.2">
      <c r="A93" s="116" t="s">
        <v>180</v>
      </c>
      <c r="B93" s="217"/>
      <c r="C93" s="90"/>
      <c r="D93" s="90"/>
      <c r="E93" s="106"/>
      <c r="F93" s="90"/>
      <c r="G93" s="106"/>
      <c r="H93" s="90"/>
      <c r="I93" s="90"/>
      <c r="J93" s="90"/>
      <c r="K93" s="90"/>
      <c r="L93" s="90"/>
      <c r="M93" s="103"/>
      <c r="N93" s="90"/>
      <c r="O93" s="91"/>
    </row>
    <row r="94" spans="1:15" s="99" customFormat="1" x14ac:dyDescent="0.2">
      <c r="A94" s="116" t="s">
        <v>181</v>
      </c>
      <c r="B94" s="217"/>
      <c r="C94" s="90"/>
      <c r="D94" s="90"/>
      <c r="E94" s="106"/>
      <c r="F94" s="90"/>
      <c r="G94" s="106"/>
      <c r="H94" s="90"/>
      <c r="I94" s="90"/>
      <c r="J94" s="90"/>
      <c r="K94" s="90"/>
      <c r="L94" s="90"/>
      <c r="M94" s="103"/>
      <c r="N94" s="90"/>
      <c r="O94" s="91"/>
    </row>
    <row r="95" spans="1:15" s="99" customFormat="1" x14ac:dyDescent="0.2">
      <c r="A95" s="116" t="s">
        <v>182</v>
      </c>
      <c r="B95" s="217" t="s">
        <v>113</v>
      </c>
      <c r="C95" s="90"/>
      <c r="D95" s="90"/>
      <c r="E95" s="106"/>
      <c r="F95" s="90"/>
      <c r="G95" s="106"/>
      <c r="H95" s="90"/>
      <c r="I95" s="90"/>
      <c r="J95" s="90"/>
      <c r="K95" s="90"/>
      <c r="L95" s="90"/>
      <c r="M95" s="103"/>
      <c r="N95" s="90"/>
      <c r="O95" s="91"/>
    </row>
    <row r="96" spans="1:15" s="99" customFormat="1" x14ac:dyDescent="0.2">
      <c r="A96" s="116"/>
      <c r="B96" s="217"/>
      <c r="C96" s="90"/>
      <c r="D96" s="90"/>
      <c r="E96" s="106"/>
      <c r="F96" s="90"/>
      <c r="G96" s="106"/>
      <c r="H96" s="90"/>
      <c r="I96" s="90"/>
      <c r="J96" s="90"/>
      <c r="K96" s="90"/>
      <c r="L96" s="90"/>
      <c r="M96" s="103"/>
      <c r="N96" s="90"/>
      <c r="O96" s="91"/>
    </row>
    <row r="97" spans="1:18" s="99" customFormat="1" x14ac:dyDescent="0.2">
      <c r="A97" s="116"/>
      <c r="B97" s="217"/>
      <c r="C97" s="90"/>
      <c r="D97" s="90"/>
      <c r="E97" s="106"/>
      <c r="F97" s="90"/>
      <c r="G97" s="106"/>
      <c r="H97" s="90"/>
      <c r="I97" s="90"/>
      <c r="J97" s="90"/>
      <c r="K97" s="90"/>
      <c r="L97" s="90"/>
      <c r="M97" s="103"/>
      <c r="N97" s="90"/>
      <c r="O97" s="91"/>
    </row>
    <row r="98" spans="1:18" s="100" customFormat="1" x14ac:dyDescent="0.2">
      <c r="A98" s="113" t="s">
        <v>183</v>
      </c>
      <c r="B98" s="220"/>
      <c r="C98" s="104">
        <f t="shared" ref="C98:H98" si="17">SUM(C99:C101)</f>
        <v>0</v>
      </c>
      <c r="D98" s="104">
        <f t="shared" si="17"/>
        <v>0</v>
      </c>
      <c r="E98" s="104">
        <f t="shared" si="17"/>
        <v>0</v>
      </c>
      <c r="F98" s="104">
        <f t="shared" si="17"/>
        <v>0</v>
      </c>
      <c r="G98" s="104">
        <f t="shared" si="17"/>
        <v>0</v>
      </c>
      <c r="H98" s="104">
        <f t="shared" si="17"/>
        <v>0</v>
      </c>
      <c r="I98" s="104"/>
      <c r="J98" s="104"/>
      <c r="K98" s="104">
        <f>+I98+J98</f>
        <v>0</v>
      </c>
      <c r="L98" s="104">
        <f>+H98-C98</f>
        <v>0</v>
      </c>
      <c r="M98" s="88" t="e">
        <f>L98/C98</f>
        <v>#DIV/0!</v>
      </c>
      <c r="N98" s="97"/>
      <c r="O98" s="91"/>
    </row>
    <row r="99" spans="1:18" s="99" customFormat="1" x14ac:dyDescent="0.2">
      <c r="A99" s="112"/>
      <c r="B99" s="217"/>
      <c r="C99" s="90"/>
      <c r="D99" s="90"/>
      <c r="E99" s="106"/>
      <c r="F99" s="90"/>
      <c r="G99" s="106"/>
      <c r="H99" s="90"/>
      <c r="I99" s="90"/>
      <c r="J99" s="90"/>
      <c r="K99" s="90"/>
      <c r="L99" s="90"/>
      <c r="M99" s="103"/>
      <c r="N99" s="90"/>
      <c r="O99" s="91"/>
    </row>
    <row r="100" spans="1:18" s="99" customFormat="1" x14ac:dyDescent="0.2">
      <c r="A100" s="112"/>
      <c r="B100" s="217"/>
      <c r="C100" s="90"/>
      <c r="D100" s="90"/>
      <c r="E100" s="106"/>
      <c r="F100" s="90"/>
      <c r="G100" s="106"/>
      <c r="H100" s="90"/>
      <c r="I100" s="90"/>
      <c r="J100" s="90"/>
      <c r="K100" s="90"/>
      <c r="L100" s="90"/>
      <c r="M100" s="103"/>
      <c r="N100" s="90"/>
      <c r="O100" s="91"/>
    </row>
    <row r="101" spans="1:18" s="99" customFormat="1" x14ac:dyDescent="0.2">
      <c r="A101" s="112"/>
      <c r="B101" s="217"/>
      <c r="C101" s="90"/>
      <c r="D101" s="90"/>
      <c r="E101" s="106"/>
      <c r="F101" s="90"/>
      <c r="G101" s="106"/>
      <c r="H101" s="90"/>
      <c r="I101" s="90"/>
      <c r="J101" s="90"/>
      <c r="K101" s="90"/>
      <c r="L101" s="90"/>
      <c r="M101" s="103"/>
      <c r="N101" s="90"/>
      <c r="O101" s="91"/>
    </row>
    <row r="102" spans="1:18" s="120" customFormat="1" ht="13.5" thickBot="1" x14ac:dyDescent="0.25">
      <c r="A102" s="117" t="s">
        <v>131</v>
      </c>
      <c r="B102" s="222"/>
      <c r="C102" s="118">
        <f>C15+C80+C90+C98</f>
        <v>5356550</v>
      </c>
      <c r="D102" s="118">
        <f t="shared" ref="D102:L102" si="18">D15+D80+D90+D98</f>
        <v>1959040.17</v>
      </c>
      <c r="E102" s="118">
        <f t="shared" si="18"/>
        <v>1604410.09</v>
      </c>
      <c r="F102" s="118">
        <f t="shared" si="18"/>
        <v>1752964.85</v>
      </c>
      <c r="G102" s="118">
        <f>G15+G80+G90+G98</f>
        <v>1148061.1100000001</v>
      </c>
      <c r="H102" s="118">
        <f>H15+H80+H90+H98</f>
        <v>6464476.2199999997</v>
      </c>
      <c r="I102" s="118">
        <f>I15+I80+I90+I98</f>
        <v>6464476.2199999997</v>
      </c>
      <c r="J102" s="118">
        <f t="shared" si="18"/>
        <v>0</v>
      </c>
      <c r="K102" s="118">
        <f t="shared" si="18"/>
        <v>6464476.2199999997</v>
      </c>
      <c r="L102" s="118">
        <f t="shared" si="18"/>
        <v>1107926.2199999997</v>
      </c>
      <c r="M102" s="119" t="e">
        <f>+M21+M24+M85+M98</f>
        <v>#DIV/0!</v>
      </c>
      <c r="N102" s="118"/>
      <c r="O102" s="91">
        <f>SUM(O16:O101)</f>
        <v>383720.85</v>
      </c>
      <c r="P102" s="91">
        <f>SUM(P16:P101)</f>
        <v>223029.05</v>
      </c>
      <c r="Q102" s="91">
        <f>SUM(Q16:Q101)</f>
        <v>538911.21</v>
      </c>
      <c r="R102" s="120">
        <f>O102+P102+Q102</f>
        <v>1145661.1099999999</v>
      </c>
    </row>
    <row r="103" spans="1:18" s="99" customFormat="1" ht="13.5" thickTop="1" x14ac:dyDescent="0.2">
      <c r="B103" s="223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2"/>
      <c r="N103" s="121"/>
      <c r="O103" s="187">
        <f>O102-'ROI - OCT'!H67</f>
        <v>5285.8499999999767</v>
      </c>
      <c r="P103" s="187">
        <f>P102-'ROI - NOV'!H67</f>
        <v>27669.049999999988</v>
      </c>
      <c r="Q103" s="187">
        <f>Q102-Q74</f>
        <v>459354.99999999994</v>
      </c>
    </row>
    <row r="104" spans="1:18" s="99" customFormat="1" x14ac:dyDescent="0.2">
      <c r="B104" s="223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2"/>
      <c r="N104" s="121"/>
    </row>
    <row r="105" spans="1:18" s="99" customFormat="1" x14ac:dyDescent="0.2">
      <c r="B105" s="224" t="s">
        <v>17</v>
      </c>
      <c r="C105" s="121"/>
      <c r="D105" s="121"/>
      <c r="E105" s="121"/>
      <c r="F105" s="121" t="s">
        <v>278</v>
      </c>
      <c r="G105" s="121"/>
      <c r="H105" s="121"/>
      <c r="I105" s="121"/>
      <c r="J105" s="121"/>
      <c r="K105" s="121"/>
      <c r="L105" s="121"/>
      <c r="M105" s="122"/>
      <c r="N105" s="121"/>
      <c r="R105" s="187">
        <f>R102-G102</f>
        <v>-2400.0000000002328</v>
      </c>
    </row>
    <row r="106" spans="1:18" s="99" customFormat="1" x14ac:dyDescent="0.2">
      <c r="B106" s="224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2"/>
      <c r="N106" s="121"/>
      <c r="R106" s="187"/>
    </row>
    <row r="107" spans="1:18" s="99" customFormat="1" x14ac:dyDescent="0.2">
      <c r="B107" s="224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2"/>
      <c r="N107" s="121"/>
      <c r="Q107" s="187"/>
    </row>
    <row r="108" spans="1:18" s="124" customFormat="1" x14ac:dyDescent="0.2">
      <c r="B108" s="225" t="s">
        <v>197</v>
      </c>
      <c r="C108" s="125"/>
      <c r="D108" s="125"/>
      <c r="E108" s="125"/>
      <c r="F108" s="141" t="s">
        <v>279</v>
      </c>
      <c r="G108" s="125"/>
      <c r="H108" s="125"/>
      <c r="I108" s="125"/>
      <c r="J108" s="125"/>
      <c r="K108" s="141"/>
      <c r="L108" s="125"/>
      <c r="M108" s="122"/>
      <c r="N108" s="125"/>
    </row>
    <row r="109" spans="1:18" s="124" customFormat="1" x14ac:dyDescent="0.2">
      <c r="B109" s="224" t="s">
        <v>198</v>
      </c>
      <c r="C109" s="121"/>
      <c r="D109" s="121"/>
      <c r="E109" s="121"/>
      <c r="F109" s="121" t="s">
        <v>280</v>
      </c>
      <c r="G109" s="121"/>
      <c r="H109" s="121"/>
      <c r="I109" s="121"/>
      <c r="J109" s="125"/>
      <c r="K109" s="121"/>
      <c r="L109" s="121"/>
      <c r="M109" s="122"/>
      <c r="N109" s="125"/>
    </row>
    <row r="110" spans="1:18" s="99" customFormat="1" x14ac:dyDescent="0.2">
      <c r="B110" s="223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36"/>
      <c r="N110" s="106"/>
      <c r="O110" s="123"/>
      <c r="P110" s="123"/>
      <c r="Q110" s="123"/>
    </row>
    <row r="111" spans="1:18" s="99" customFormat="1" x14ac:dyDescent="0.2">
      <c r="B111" s="223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36"/>
      <c r="N111" s="106"/>
      <c r="O111" s="123"/>
      <c r="P111" s="123"/>
      <c r="Q111" s="123"/>
    </row>
    <row r="112" spans="1:18" s="99" customFormat="1" x14ac:dyDescent="0.2">
      <c r="B112" s="223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2"/>
      <c r="N112" s="121"/>
    </row>
    <row r="113" spans="2:14" s="99" customFormat="1" x14ac:dyDescent="0.2">
      <c r="B113" s="223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2"/>
      <c r="N113" s="121"/>
    </row>
    <row r="114" spans="2:14" s="99" customFormat="1" x14ac:dyDescent="0.2">
      <c r="B114" s="223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2"/>
      <c r="N114" s="121"/>
    </row>
    <row r="115" spans="2:14" s="99" customFormat="1" x14ac:dyDescent="0.2">
      <c r="B115" s="223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2"/>
      <c r="N115" s="121"/>
    </row>
    <row r="116" spans="2:14" s="99" customFormat="1" x14ac:dyDescent="0.2">
      <c r="B116" s="223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2"/>
      <c r="N116" s="121"/>
    </row>
    <row r="117" spans="2:14" s="99" customFormat="1" x14ac:dyDescent="0.2">
      <c r="B117" s="223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2"/>
      <c r="N117" s="121"/>
    </row>
    <row r="118" spans="2:14" s="99" customFormat="1" x14ac:dyDescent="0.2">
      <c r="B118" s="223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2"/>
      <c r="N118" s="121"/>
    </row>
    <row r="119" spans="2:14" s="99" customFormat="1" x14ac:dyDescent="0.2">
      <c r="B119" s="223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2"/>
      <c r="N119" s="121"/>
    </row>
    <row r="120" spans="2:14" s="99" customFormat="1" x14ac:dyDescent="0.2">
      <c r="B120" s="223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2"/>
      <c r="N120" s="121"/>
    </row>
    <row r="121" spans="2:14" s="99" customFormat="1" x14ac:dyDescent="0.2">
      <c r="B121" s="223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2"/>
      <c r="N121" s="121"/>
    </row>
    <row r="122" spans="2:14" s="99" customFormat="1" x14ac:dyDescent="0.2">
      <c r="B122" s="223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2"/>
      <c r="N122" s="121"/>
    </row>
    <row r="123" spans="2:14" s="99" customFormat="1" x14ac:dyDescent="0.2">
      <c r="B123" s="223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2"/>
      <c r="N123" s="121"/>
    </row>
    <row r="124" spans="2:14" s="99" customFormat="1" x14ac:dyDescent="0.2">
      <c r="B124" s="223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2"/>
      <c r="N124" s="121"/>
    </row>
    <row r="125" spans="2:14" s="99" customFormat="1" x14ac:dyDescent="0.2">
      <c r="B125" s="223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2"/>
      <c r="N125" s="121"/>
    </row>
    <row r="126" spans="2:14" s="99" customFormat="1" x14ac:dyDescent="0.2">
      <c r="B126" s="223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2"/>
      <c r="N126" s="121"/>
    </row>
    <row r="127" spans="2:14" s="99" customFormat="1" x14ac:dyDescent="0.2">
      <c r="B127" s="223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2"/>
      <c r="N127" s="121"/>
    </row>
    <row r="128" spans="2:14" s="99" customFormat="1" x14ac:dyDescent="0.2">
      <c r="B128" s="223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2"/>
      <c r="N128" s="121"/>
    </row>
    <row r="129" spans="2:14" s="99" customFormat="1" x14ac:dyDescent="0.2">
      <c r="B129" s="223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2"/>
      <c r="N129" s="121"/>
    </row>
    <row r="130" spans="2:14" s="99" customFormat="1" x14ac:dyDescent="0.2">
      <c r="B130" s="223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2"/>
      <c r="N130" s="121"/>
    </row>
    <row r="131" spans="2:14" s="99" customFormat="1" x14ac:dyDescent="0.2">
      <c r="B131" s="223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2"/>
      <c r="N131" s="121"/>
    </row>
    <row r="132" spans="2:14" s="99" customFormat="1" x14ac:dyDescent="0.2">
      <c r="B132" s="223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2"/>
      <c r="N132" s="121"/>
    </row>
    <row r="133" spans="2:14" s="99" customFormat="1" x14ac:dyDescent="0.2">
      <c r="B133" s="223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2"/>
      <c r="N133" s="121"/>
    </row>
    <row r="134" spans="2:14" s="99" customFormat="1" x14ac:dyDescent="0.2">
      <c r="B134" s="223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2"/>
      <c r="N134" s="121"/>
    </row>
    <row r="135" spans="2:14" s="99" customFormat="1" x14ac:dyDescent="0.2">
      <c r="B135" s="223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2"/>
      <c r="N135" s="121"/>
    </row>
    <row r="136" spans="2:14" s="99" customFormat="1" x14ac:dyDescent="0.2">
      <c r="B136" s="223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2"/>
      <c r="N136" s="121"/>
    </row>
    <row r="137" spans="2:14" s="99" customFormat="1" x14ac:dyDescent="0.2">
      <c r="B137" s="223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2"/>
      <c r="N137" s="121"/>
    </row>
  </sheetData>
  <mergeCells count="10">
    <mergeCell ref="N11:N12"/>
    <mergeCell ref="A2:M2"/>
    <mergeCell ref="A3:M3"/>
    <mergeCell ref="A4:M4"/>
    <mergeCell ref="A11:A12"/>
    <mergeCell ref="B11:B12"/>
    <mergeCell ref="C11:C12"/>
    <mergeCell ref="D11:H11"/>
    <mergeCell ref="I11:K11"/>
    <mergeCell ref="L11:M11"/>
  </mergeCells>
  <pageMargins left="0.7" right="0.7" top="0.75" bottom="0.75" header="0.3" footer="0.3"/>
  <pageSetup paperSize="13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2"/>
  <sheetViews>
    <sheetView topLeftCell="A4" workbookViewId="0">
      <selection activeCell="C25" sqref="C25:C28"/>
    </sheetView>
  </sheetViews>
  <sheetFormatPr defaultRowHeight="12.75" x14ac:dyDescent="0.2"/>
  <cols>
    <col min="1" max="1" width="18.140625" style="1" customWidth="1"/>
    <col min="2" max="2" width="9.28515625" style="2" bestFit="1" customWidth="1"/>
    <col min="3" max="3" width="5.140625" style="1" customWidth="1"/>
    <col min="4" max="4" width="5.85546875" style="1" customWidth="1"/>
    <col min="5" max="5" width="49.140625" style="1" customWidth="1"/>
    <col min="6" max="6" width="19.5703125" style="1" customWidth="1"/>
    <col min="7" max="7" width="16.7109375" style="1" customWidth="1"/>
    <col min="8" max="8" width="18.7109375" style="1" customWidth="1"/>
    <col min="9" max="16384" width="9.140625" style="1"/>
  </cols>
  <sheetData>
    <row r="1" spans="3:10" x14ac:dyDescent="0.2">
      <c r="C1" s="192" t="s">
        <v>0</v>
      </c>
      <c r="D1" s="192"/>
      <c r="E1" s="192"/>
      <c r="F1" s="192"/>
      <c r="G1" s="192"/>
      <c r="H1" s="192"/>
    </row>
    <row r="2" spans="3:10" x14ac:dyDescent="0.2">
      <c r="C2" s="192" t="s">
        <v>1</v>
      </c>
      <c r="D2" s="192"/>
      <c r="E2" s="192"/>
      <c r="F2" s="192"/>
      <c r="G2" s="192"/>
      <c r="H2" s="192"/>
    </row>
    <row r="3" spans="3:10" x14ac:dyDescent="0.2">
      <c r="C3" s="192"/>
      <c r="D3" s="192"/>
      <c r="E3" s="192"/>
      <c r="F3" s="192"/>
      <c r="G3" s="192"/>
      <c r="H3" s="192"/>
    </row>
    <row r="4" spans="3:10" x14ac:dyDescent="0.2">
      <c r="C4" s="193" t="s">
        <v>208</v>
      </c>
      <c r="D4" s="193"/>
      <c r="E4" s="193"/>
      <c r="F4" s="193"/>
      <c r="G4" s="193"/>
      <c r="H4" s="193"/>
    </row>
    <row r="5" spans="3:10" x14ac:dyDescent="0.2">
      <c r="C5" s="192" t="s">
        <v>207</v>
      </c>
      <c r="D5" s="192"/>
      <c r="E5" s="192"/>
      <c r="F5" s="192"/>
      <c r="G5" s="192"/>
      <c r="H5" s="192"/>
    </row>
    <row r="6" spans="3:10" x14ac:dyDescent="0.2">
      <c r="C6" s="192"/>
      <c r="D6" s="192"/>
      <c r="E6" s="192"/>
      <c r="F6" s="192"/>
      <c r="G6" s="192"/>
      <c r="H6" s="192"/>
    </row>
    <row r="7" spans="3:10" x14ac:dyDescent="0.2">
      <c r="C7" s="193" t="s">
        <v>209</v>
      </c>
      <c r="D7" s="193"/>
      <c r="E7" s="193"/>
      <c r="F7" s="193"/>
      <c r="G7" s="193"/>
      <c r="H7" s="193"/>
    </row>
    <row r="8" spans="3:10" x14ac:dyDescent="0.2">
      <c r="C8" s="192" t="s">
        <v>16</v>
      </c>
      <c r="D8" s="192"/>
      <c r="E8" s="192"/>
      <c r="F8" s="192"/>
      <c r="G8" s="192"/>
      <c r="H8" s="192"/>
    </row>
    <row r="10" spans="3:10" ht="25.5" x14ac:dyDescent="0.2">
      <c r="C10" s="191" t="s">
        <v>3</v>
      </c>
      <c r="D10" s="191"/>
      <c r="E10" s="7" t="s">
        <v>4</v>
      </c>
      <c r="F10" s="7" t="s">
        <v>60</v>
      </c>
      <c r="G10" s="7"/>
      <c r="H10" s="7" t="s">
        <v>5</v>
      </c>
      <c r="I10" s="15"/>
      <c r="J10" s="15"/>
    </row>
    <row r="11" spans="3:10" x14ac:dyDescent="0.2">
      <c r="C11" s="17" t="s">
        <v>6</v>
      </c>
      <c r="D11" s="18"/>
      <c r="E11" s="19"/>
      <c r="F11" s="8"/>
      <c r="G11" s="19"/>
      <c r="H11" s="19"/>
    </row>
    <row r="12" spans="3:10" x14ac:dyDescent="0.2">
      <c r="C12" s="27"/>
      <c r="D12" s="20" t="s">
        <v>7</v>
      </c>
      <c r="E12" s="21"/>
      <c r="F12" s="20">
        <v>0</v>
      </c>
      <c r="G12" s="21"/>
      <c r="H12" s="20">
        <v>0</v>
      </c>
    </row>
    <row r="13" spans="3:10" x14ac:dyDescent="0.2">
      <c r="C13" s="28"/>
      <c r="D13" s="20" t="s">
        <v>21</v>
      </c>
      <c r="E13" s="21"/>
      <c r="F13" s="20">
        <f>SUM(F14:F28)</f>
        <v>126570</v>
      </c>
      <c r="G13" s="21"/>
      <c r="H13" s="20">
        <f>SUM(H14:H28)</f>
        <v>126570</v>
      </c>
    </row>
    <row r="14" spans="3:10" x14ac:dyDescent="0.2">
      <c r="C14" s="28"/>
      <c r="D14" s="31"/>
      <c r="E14" s="21" t="s">
        <v>8</v>
      </c>
      <c r="F14" s="9">
        <f>H14</f>
        <v>27000</v>
      </c>
      <c r="G14" s="21"/>
      <c r="H14" s="9">
        <v>27000</v>
      </c>
    </row>
    <row r="15" spans="3:10" x14ac:dyDescent="0.2">
      <c r="C15" s="28"/>
      <c r="D15" s="32"/>
      <c r="E15" s="21" t="s">
        <v>22</v>
      </c>
      <c r="F15" s="9">
        <f t="shared" ref="F15:F51" si="0">H15</f>
        <v>0</v>
      </c>
      <c r="G15" s="21"/>
      <c r="H15" s="9"/>
    </row>
    <row r="16" spans="3:10" x14ac:dyDescent="0.2">
      <c r="C16" s="28"/>
      <c r="D16" s="32"/>
      <c r="E16" s="21" t="s">
        <v>23</v>
      </c>
      <c r="F16" s="9">
        <f t="shared" si="0"/>
        <v>52300</v>
      </c>
      <c r="G16" s="21"/>
      <c r="H16" s="9">
        <v>52300</v>
      </c>
    </row>
    <row r="17" spans="2:8" x14ac:dyDescent="0.2">
      <c r="C17" s="28"/>
      <c r="D17" s="32"/>
      <c r="E17" s="21" t="s">
        <v>24</v>
      </c>
      <c r="F17" s="9">
        <f t="shared" si="0"/>
        <v>0</v>
      </c>
      <c r="G17" s="21"/>
      <c r="H17" s="9"/>
    </row>
    <row r="18" spans="2:8" x14ac:dyDescent="0.2">
      <c r="C18" s="28"/>
      <c r="D18" s="32"/>
      <c r="E18" s="21" t="s">
        <v>25</v>
      </c>
      <c r="F18" s="9">
        <f t="shared" si="0"/>
        <v>0</v>
      </c>
      <c r="G18" s="21"/>
      <c r="H18" s="9"/>
    </row>
    <row r="19" spans="2:8" x14ac:dyDescent="0.2">
      <c r="C19" s="28"/>
      <c r="D19" s="32"/>
      <c r="E19" s="21" t="s">
        <v>26</v>
      </c>
      <c r="F19" s="9">
        <f t="shared" si="0"/>
        <v>0</v>
      </c>
      <c r="G19" s="21"/>
      <c r="H19" s="9"/>
    </row>
    <row r="20" spans="2:8" x14ac:dyDescent="0.2">
      <c r="C20" s="28"/>
      <c r="D20" s="32"/>
      <c r="E20" s="21" t="s">
        <v>27</v>
      </c>
      <c r="F20" s="9">
        <f t="shared" si="0"/>
        <v>0</v>
      </c>
      <c r="G20" s="21"/>
      <c r="H20" s="9"/>
    </row>
    <row r="21" spans="2:8" x14ac:dyDescent="0.2">
      <c r="C21" s="28"/>
      <c r="D21" s="32"/>
      <c r="E21" s="21" t="s">
        <v>28</v>
      </c>
      <c r="F21" s="9">
        <f t="shared" si="0"/>
        <v>27700</v>
      </c>
      <c r="G21" s="21"/>
      <c r="H21" s="9">
        <v>27700</v>
      </c>
    </row>
    <row r="22" spans="2:8" s="5" customFormat="1" x14ac:dyDescent="0.2">
      <c r="B22" s="6"/>
      <c r="C22" s="29"/>
      <c r="D22" s="33"/>
      <c r="E22" s="23" t="s">
        <v>29</v>
      </c>
      <c r="F22" s="9">
        <f t="shared" si="0"/>
        <v>0</v>
      </c>
      <c r="G22" s="23"/>
      <c r="H22" s="9"/>
    </row>
    <row r="23" spans="2:8" x14ac:dyDescent="0.2">
      <c r="C23" s="28"/>
      <c r="D23" s="32"/>
      <c r="E23" s="21" t="s">
        <v>30</v>
      </c>
      <c r="F23" s="9">
        <f t="shared" si="0"/>
        <v>0</v>
      </c>
      <c r="G23" s="21"/>
      <c r="H23" s="9"/>
    </row>
    <row r="24" spans="2:8" x14ac:dyDescent="0.2">
      <c r="C24" s="28"/>
      <c r="D24" s="32"/>
      <c r="E24" s="21" t="s">
        <v>31</v>
      </c>
      <c r="F24" s="9">
        <f t="shared" si="0"/>
        <v>13000</v>
      </c>
      <c r="G24" s="21"/>
      <c r="H24" s="9">
        <v>13000</v>
      </c>
    </row>
    <row r="25" spans="2:8" x14ac:dyDescent="0.2">
      <c r="C25" s="28"/>
      <c r="D25" s="32"/>
      <c r="E25" s="21" t="s">
        <v>32</v>
      </c>
      <c r="F25" s="9">
        <f t="shared" si="0"/>
        <v>0</v>
      </c>
      <c r="G25" s="21"/>
      <c r="H25" s="9"/>
    </row>
    <row r="26" spans="2:8" x14ac:dyDescent="0.2">
      <c r="C26" s="28"/>
      <c r="D26" s="32"/>
      <c r="E26" s="21" t="s">
        <v>33</v>
      </c>
      <c r="F26" s="9">
        <f t="shared" si="0"/>
        <v>0</v>
      </c>
      <c r="G26" s="21"/>
      <c r="H26" s="9"/>
    </row>
    <row r="27" spans="2:8" x14ac:dyDescent="0.2">
      <c r="C27" s="28"/>
      <c r="D27" s="32"/>
      <c r="E27" s="21" t="s">
        <v>194</v>
      </c>
      <c r="F27" s="9">
        <f t="shared" si="0"/>
        <v>6570</v>
      </c>
      <c r="G27" s="21"/>
      <c r="H27" s="9">
        <v>6570</v>
      </c>
    </row>
    <row r="28" spans="2:8" x14ac:dyDescent="0.2">
      <c r="C28" s="28"/>
      <c r="D28" s="34"/>
      <c r="E28" s="21" t="s">
        <v>34</v>
      </c>
      <c r="F28" s="9">
        <f t="shared" si="0"/>
        <v>0</v>
      </c>
      <c r="G28" s="21"/>
      <c r="H28" s="9"/>
    </row>
    <row r="29" spans="2:8" x14ac:dyDescent="0.2">
      <c r="C29" s="28"/>
      <c r="D29" s="22" t="s">
        <v>35</v>
      </c>
      <c r="E29" s="21"/>
      <c r="F29" s="20">
        <f>SUM(F30:F40)</f>
        <v>266040</v>
      </c>
      <c r="G29" s="21"/>
      <c r="H29" s="20">
        <f>SUM(H30:H40)</f>
        <v>266040</v>
      </c>
    </row>
    <row r="30" spans="2:8" x14ac:dyDescent="0.2">
      <c r="C30" s="28"/>
      <c r="D30" s="31"/>
      <c r="E30" s="21" t="s">
        <v>36</v>
      </c>
      <c r="F30" s="9">
        <f t="shared" si="0"/>
        <v>0</v>
      </c>
      <c r="G30" s="21"/>
      <c r="H30" s="9"/>
    </row>
    <row r="31" spans="2:8" x14ac:dyDescent="0.2">
      <c r="C31" s="28"/>
      <c r="D31" s="32"/>
      <c r="E31" s="21" t="s">
        <v>37</v>
      </c>
      <c r="F31" s="9">
        <f t="shared" si="0"/>
        <v>0</v>
      </c>
      <c r="G31" s="21"/>
      <c r="H31" s="9"/>
    </row>
    <row r="32" spans="2:8" x14ac:dyDescent="0.2">
      <c r="C32" s="28"/>
      <c r="D32" s="32"/>
      <c r="E32" s="21" t="s">
        <v>38</v>
      </c>
      <c r="F32" s="9">
        <f t="shared" si="0"/>
        <v>0</v>
      </c>
      <c r="G32" s="21"/>
      <c r="H32" s="9"/>
    </row>
    <row r="33" spans="2:8" x14ac:dyDescent="0.2">
      <c r="C33" s="28"/>
      <c r="D33" s="32"/>
      <c r="E33" s="21" t="s">
        <v>203</v>
      </c>
      <c r="F33" s="9">
        <f t="shared" si="0"/>
        <v>42000</v>
      </c>
      <c r="G33" s="21"/>
      <c r="H33" s="9">
        <v>42000</v>
      </c>
    </row>
    <row r="34" spans="2:8" x14ac:dyDescent="0.2">
      <c r="C34" s="28"/>
      <c r="D34" s="32"/>
      <c r="E34" s="21" t="s">
        <v>40</v>
      </c>
      <c r="F34" s="9">
        <f t="shared" si="0"/>
        <v>0</v>
      </c>
      <c r="G34" s="21"/>
      <c r="H34" s="9"/>
    </row>
    <row r="35" spans="2:8" x14ac:dyDescent="0.2">
      <c r="C35" s="28"/>
      <c r="D35" s="32"/>
      <c r="E35" s="21" t="s">
        <v>41</v>
      </c>
      <c r="F35" s="9">
        <f t="shared" si="0"/>
        <v>18000</v>
      </c>
      <c r="G35" s="21"/>
      <c r="H35" s="9">
        <v>18000</v>
      </c>
    </row>
    <row r="36" spans="2:8" s="3" customFormat="1" x14ac:dyDescent="0.2">
      <c r="B36" s="4"/>
      <c r="C36" s="28"/>
      <c r="D36" s="32"/>
      <c r="E36" s="21" t="s">
        <v>42</v>
      </c>
      <c r="F36" s="9">
        <f t="shared" si="0"/>
        <v>0</v>
      </c>
      <c r="G36" s="22"/>
      <c r="H36" s="20"/>
    </row>
    <row r="37" spans="2:8" x14ac:dyDescent="0.2">
      <c r="C37" s="28"/>
      <c r="D37" s="32"/>
      <c r="E37" s="21" t="s">
        <v>43</v>
      </c>
      <c r="F37" s="9">
        <f t="shared" si="0"/>
        <v>0</v>
      </c>
      <c r="G37" s="21"/>
      <c r="H37" s="9"/>
    </row>
    <row r="38" spans="2:8" x14ac:dyDescent="0.2">
      <c r="C38" s="28"/>
      <c r="D38" s="32"/>
      <c r="E38" s="21" t="s">
        <v>44</v>
      </c>
      <c r="F38" s="9">
        <f t="shared" si="0"/>
        <v>0</v>
      </c>
      <c r="G38" s="21"/>
      <c r="H38" s="9"/>
    </row>
    <row r="39" spans="2:8" x14ac:dyDescent="0.2">
      <c r="C39" s="28"/>
      <c r="D39" s="32"/>
      <c r="E39" s="21" t="s">
        <v>204</v>
      </c>
      <c r="F39" s="9">
        <f t="shared" si="0"/>
        <v>187440</v>
      </c>
      <c r="G39" s="21"/>
      <c r="H39" s="9">
        <v>187440</v>
      </c>
    </row>
    <row r="40" spans="2:8" x14ac:dyDescent="0.2">
      <c r="C40" s="28"/>
      <c r="D40" s="34"/>
      <c r="E40" s="21" t="s">
        <v>199</v>
      </c>
      <c r="F40" s="9">
        <f t="shared" si="0"/>
        <v>18600</v>
      </c>
      <c r="G40" s="21"/>
      <c r="H40" s="9">
        <v>18600</v>
      </c>
    </row>
    <row r="41" spans="2:8" x14ac:dyDescent="0.2">
      <c r="C41" s="28"/>
      <c r="D41" s="34"/>
      <c r="E41" s="21"/>
      <c r="F41" s="9"/>
      <c r="G41" s="21"/>
      <c r="H41" s="9"/>
    </row>
    <row r="42" spans="2:8" x14ac:dyDescent="0.2">
      <c r="C42" s="28"/>
      <c r="D42" s="22" t="s">
        <v>10</v>
      </c>
      <c r="E42" s="21"/>
      <c r="F42" s="20">
        <f>SUM(F43:F47)</f>
        <v>2000</v>
      </c>
      <c r="G42" s="21"/>
      <c r="H42" s="20">
        <f>SUM(H43:H47)</f>
        <v>2000</v>
      </c>
    </row>
    <row r="43" spans="2:8" x14ac:dyDescent="0.2">
      <c r="C43" s="28"/>
      <c r="D43" s="31"/>
      <c r="E43" s="21" t="s">
        <v>116</v>
      </c>
      <c r="F43" s="9">
        <f t="shared" si="0"/>
        <v>0</v>
      </c>
      <c r="G43" s="21"/>
      <c r="H43" s="20"/>
    </row>
    <row r="44" spans="2:8" s="3" customFormat="1" x14ac:dyDescent="0.2">
      <c r="B44" s="4"/>
      <c r="C44" s="28"/>
      <c r="D44" s="31"/>
      <c r="E44" s="21" t="s">
        <v>46</v>
      </c>
      <c r="F44" s="9">
        <f t="shared" si="0"/>
        <v>0</v>
      </c>
      <c r="G44" s="21"/>
      <c r="H44" s="9"/>
    </row>
    <row r="45" spans="2:8" x14ac:dyDescent="0.2">
      <c r="C45" s="28"/>
      <c r="D45" s="32"/>
      <c r="E45" s="21" t="s">
        <v>206</v>
      </c>
      <c r="F45" s="9">
        <f t="shared" si="0"/>
        <v>2000</v>
      </c>
      <c r="G45" s="22"/>
      <c r="H45" s="9">
        <v>2000</v>
      </c>
    </row>
    <row r="46" spans="2:8" x14ac:dyDescent="0.2">
      <c r="C46" s="28"/>
      <c r="D46" s="32"/>
      <c r="E46" s="21" t="s">
        <v>48</v>
      </c>
      <c r="F46" s="9">
        <f t="shared" si="0"/>
        <v>0</v>
      </c>
      <c r="G46" s="21"/>
      <c r="H46" s="9"/>
    </row>
    <row r="47" spans="2:8" x14ac:dyDescent="0.2">
      <c r="C47" s="28"/>
      <c r="D47" s="34"/>
      <c r="E47" s="21" t="s">
        <v>49</v>
      </c>
      <c r="F47" s="9">
        <f t="shared" si="0"/>
        <v>0</v>
      </c>
      <c r="G47" s="21"/>
      <c r="H47" s="9"/>
    </row>
    <row r="48" spans="2:8" x14ac:dyDescent="0.2">
      <c r="C48" s="28"/>
      <c r="D48" s="22" t="s">
        <v>50</v>
      </c>
      <c r="E48" s="21"/>
      <c r="F48" s="20">
        <f>SUM(F49:F51)</f>
        <v>8705</v>
      </c>
      <c r="G48" s="21"/>
      <c r="H48" s="20">
        <f>SUM(H49:H51)</f>
        <v>8705</v>
      </c>
    </row>
    <row r="49" spans="3:8" x14ac:dyDescent="0.2">
      <c r="C49" s="28"/>
      <c r="D49" s="31"/>
      <c r="E49" s="21" t="s">
        <v>51</v>
      </c>
      <c r="F49" s="9">
        <f t="shared" si="0"/>
        <v>0</v>
      </c>
      <c r="G49" s="21"/>
      <c r="H49" s="9"/>
    </row>
    <row r="50" spans="3:8" x14ac:dyDescent="0.2">
      <c r="C50" s="28"/>
      <c r="D50" s="32"/>
      <c r="E50" s="21" t="s">
        <v>205</v>
      </c>
      <c r="F50" s="9">
        <f t="shared" si="0"/>
        <v>0</v>
      </c>
      <c r="G50" s="21"/>
      <c r="H50" s="9"/>
    </row>
    <row r="51" spans="3:8" x14ac:dyDescent="0.2">
      <c r="C51" s="28"/>
      <c r="D51" s="34"/>
      <c r="E51" s="21" t="s">
        <v>52</v>
      </c>
      <c r="F51" s="9">
        <f t="shared" si="0"/>
        <v>8705</v>
      </c>
      <c r="G51" s="21"/>
      <c r="H51" s="9">
        <v>8705</v>
      </c>
    </row>
    <row r="52" spans="3:8" x14ac:dyDescent="0.2">
      <c r="C52" s="28"/>
      <c r="D52" s="22" t="s">
        <v>53</v>
      </c>
      <c r="E52" s="21"/>
      <c r="F52" s="20">
        <v>0</v>
      </c>
      <c r="G52" s="21"/>
      <c r="H52" s="20">
        <v>0</v>
      </c>
    </row>
    <row r="53" spans="3:8" x14ac:dyDescent="0.2">
      <c r="C53" s="30"/>
      <c r="D53" s="22" t="s">
        <v>57</v>
      </c>
      <c r="E53" s="21"/>
      <c r="F53" s="20">
        <v>0</v>
      </c>
      <c r="G53" s="21"/>
      <c r="H53" s="20">
        <v>0</v>
      </c>
    </row>
    <row r="54" spans="3:8" x14ac:dyDescent="0.2">
      <c r="C54" s="20" t="s">
        <v>11</v>
      </c>
      <c r="D54" s="22"/>
      <c r="E54" s="21"/>
      <c r="F54" s="9">
        <f>F12+F13+F29+F42+F48+F52+F53</f>
        <v>403315</v>
      </c>
      <c r="G54" s="21"/>
      <c r="H54" s="9">
        <f>H12+H13+H29+H42+H48+H52+H53</f>
        <v>403315</v>
      </c>
    </row>
    <row r="55" spans="3:8" x14ac:dyDescent="0.2">
      <c r="C55" s="20" t="s">
        <v>12</v>
      </c>
      <c r="D55" s="22"/>
      <c r="E55" s="21"/>
      <c r="F55" s="9"/>
      <c r="G55" s="21"/>
      <c r="H55" s="9"/>
    </row>
    <row r="56" spans="3:8" x14ac:dyDescent="0.2">
      <c r="C56" s="27"/>
      <c r="D56" s="22" t="s">
        <v>7</v>
      </c>
      <c r="E56" s="21"/>
      <c r="F56" s="9">
        <v>0</v>
      </c>
      <c r="G56" s="21"/>
      <c r="H56" s="9">
        <v>0</v>
      </c>
    </row>
    <row r="57" spans="3:8" x14ac:dyDescent="0.2">
      <c r="C57" s="28"/>
      <c r="D57" s="22" t="s">
        <v>21</v>
      </c>
      <c r="E57" s="21"/>
      <c r="F57" s="9">
        <v>0</v>
      </c>
      <c r="G57" s="21"/>
      <c r="H57" s="9">
        <v>0</v>
      </c>
    </row>
    <row r="58" spans="3:8" x14ac:dyDescent="0.2">
      <c r="C58" s="28"/>
      <c r="D58" s="22" t="s">
        <v>35</v>
      </c>
      <c r="E58" s="21"/>
      <c r="F58" s="9">
        <v>0</v>
      </c>
      <c r="G58" s="21"/>
      <c r="H58" s="9">
        <v>0</v>
      </c>
    </row>
    <row r="59" spans="3:8" x14ac:dyDescent="0.2">
      <c r="C59" s="28"/>
      <c r="D59" s="22" t="s">
        <v>10</v>
      </c>
      <c r="E59" s="21"/>
      <c r="F59" s="9">
        <v>0</v>
      </c>
      <c r="G59" s="21"/>
      <c r="H59" s="9">
        <v>0</v>
      </c>
    </row>
    <row r="60" spans="3:8" x14ac:dyDescent="0.2">
      <c r="C60" s="28"/>
      <c r="D60" s="22" t="s">
        <v>50</v>
      </c>
      <c r="E60" s="21"/>
      <c r="F60" s="9">
        <v>0</v>
      </c>
      <c r="G60" s="21"/>
      <c r="H60" s="9">
        <v>0</v>
      </c>
    </row>
    <row r="61" spans="3:8" x14ac:dyDescent="0.2">
      <c r="C61" s="28"/>
      <c r="D61" s="22" t="s">
        <v>53</v>
      </c>
      <c r="E61" s="21"/>
      <c r="F61" s="9">
        <v>0</v>
      </c>
      <c r="G61" s="21"/>
      <c r="H61" s="9">
        <v>0</v>
      </c>
    </row>
    <row r="62" spans="3:8" x14ac:dyDescent="0.2">
      <c r="C62" s="30"/>
      <c r="D62" s="22" t="s">
        <v>57</v>
      </c>
      <c r="E62" s="21"/>
      <c r="F62" s="9">
        <v>0</v>
      </c>
      <c r="G62" s="21"/>
      <c r="H62" s="9">
        <v>0</v>
      </c>
    </row>
    <row r="63" spans="3:8" x14ac:dyDescent="0.2">
      <c r="C63" s="20" t="s">
        <v>13</v>
      </c>
      <c r="D63" s="22"/>
      <c r="E63" s="22"/>
      <c r="F63" s="20">
        <f>SUM(F56:F62)</f>
        <v>0</v>
      </c>
      <c r="G63" s="21"/>
      <c r="H63" s="20">
        <f>SUM(H56:H62)</f>
        <v>0</v>
      </c>
    </row>
    <row r="64" spans="3:8" x14ac:dyDescent="0.2">
      <c r="C64" s="24" t="s">
        <v>14</v>
      </c>
      <c r="D64" s="25"/>
      <c r="E64" s="26"/>
      <c r="F64" s="10">
        <f>F54+F63</f>
        <v>403315</v>
      </c>
      <c r="G64" s="26"/>
      <c r="H64" s="10">
        <f>H54+H63</f>
        <v>403315</v>
      </c>
    </row>
    <row r="65" spans="1:8" x14ac:dyDescent="0.2">
      <c r="A65" s="11"/>
      <c r="C65" s="4"/>
      <c r="D65" s="3"/>
      <c r="F65" s="2"/>
    </row>
    <row r="66" spans="1:8" x14ac:dyDescent="0.2">
      <c r="E66" s="3" t="s">
        <v>15</v>
      </c>
    </row>
    <row r="67" spans="1:8" s="3" customFormat="1" x14ac:dyDescent="0.2">
      <c r="B67" s="4"/>
      <c r="C67" s="1"/>
      <c r="D67" s="1"/>
      <c r="E67" s="1"/>
      <c r="F67" s="1"/>
      <c r="G67" s="1"/>
      <c r="H67" s="1"/>
    </row>
    <row r="68" spans="1:8" x14ac:dyDescent="0.2">
      <c r="E68" s="3" t="s">
        <v>7</v>
      </c>
      <c r="G68" s="3"/>
      <c r="H68" s="3"/>
    </row>
    <row r="69" spans="1:8" x14ac:dyDescent="0.2">
      <c r="E69" s="1" t="s">
        <v>54</v>
      </c>
      <c r="F69" s="11">
        <f>F12</f>
        <v>0</v>
      </c>
    </row>
    <row r="70" spans="1:8" x14ac:dyDescent="0.2">
      <c r="E70" s="1" t="s">
        <v>55</v>
      </c>
      <c r="F70" s="11">
        <f>F56</f>
        <v>0</v>
      </c>
    </row>
    <row r="71" spans="1:8" x14ac:dyDescent="0.2">
      <c r="E71" s="13" t="s">
        <v>56</v>
      </c>
      <c r="F71" s="14">
        <f>F69+F70</f>
        <v>0</v>
      </c>
    </row>
    <row r="72" spans="1:8" x14ac:dyDescent="0.2">
      <c r="E72" s="3" t="s">
        <v>21</v>
      </c>
    </row>
    <row r="73" spans="1:8" x14ac:dyDescent="0.2">
      <c r="E73" s="1" t="s">
        <v>54</v>
      </c>
      <c r="F73" s="11">
        <f>F13</f>
        <v>126570</v>
      </c>
    </row>
    <row r="74" spans="1:8" x14ac:dyDescent="0.2">
      <c r="E74" s="1" t="s">
        <v>55</v>
      </c>
      <c r="F74" s="11">
        <f>F57</f>
        <v>0</v>
      </c>
    </row>
    <row r="75" spans="1:8" x14ac:dyDescent="0.2">
      <c r="E75" s="13" t="s">
        <v>56</v>
      </c>
      <c r="F75" s="14">
        <f>F73+F74</f>
        <v>126570</v>
      </c>
    </row>
    <row r="76" spans="1:8" x14ac:dyDescent="0.2">
      <c r="E76" s="3" t="s">
        <v>58</v>
      </c>
    </row>
    <row r="77" spans="1:8" x14ac:dyDescent="0.2">
      <c r="E77" s="1" t="s">
        <v>54</v>
      </c>
      <c r="F77" s="11">
        <f>F29</f>
        <v>266040</v>
      </c>
    </row>
    <row r="78" spans="1:8" x14ac:dyDescent="0.2">
      <c r="E78" s="1" t="s">
        <v>55</v>
      </c>
      <c r="F78" s="11">
        <f>F58</f>
        <v>0</v>
      </c>
    </row>
    <row r="79" spans="1:8" x14ac:dyDescent="0.2">
      <c r="E79" s="13" t="s">
        <v>56</v>
      </c>
      <c r="F79" s="14">
        <f>F77+F78</f>
        <v>266040</v>
      </c>
    </row>
    <row r="80" spans="1:8" x14ac:dyDescent="0.2">
      <c r="E80" s="3" t="s">
        <v>10</v>
      </c>
    </row>
    <row r="81" spans="5:6" x14ac:dyDescent="0.2">
      <c r="E81" s="1" t="s">
        <v>54</v>
      </c>
      <c r="F81" s="11">
        <f>F42</f>
        <v>2000</v>
      </c>
    </row>
    <row r="82" spans="5:6" x14ac:dyDescent="0.2">
      <c r="E82" s="1" t="s">
        <v>55</v>
      </c>
      <c r="F82" s="11">
        <f>F59</f>
        <v>0</v>
      </c>
    </row>
    <row r="83" spans="5:6" x14ac:dyDescent="0.2">
      <c r="E83" s="13" t="s">
        <v>56</v>
      </c>
      <c r="F83" s="14">
        <f>F81+F82</f>
        <v>2000</v>
      </c>
    </row>
    <row r="84" spans="5:6" x14ac:dyDescent="0.2">
      <c r="E84" s="3" t="s">
        <v>50</v>
      </c>
    </row>
    <row r="85" spans="5:6" x14ac:dyDescent="0.2">
      <c r="E85" s="1" t="s">
        <v>54</v>
      </c>
      <c r="F85" s="11">
        <f>F48</f>
        <v>8705</v>
      </c>
    </row>
    <row r="86" spans="5:6" x14ac:dyDescent="0.2">
      <c r="E86" s="1" t="s">
        <v>55</v>
      </c>
      <c r="F86" s="11">
        <f>F60</f>
        <v>0</v>
      </c>
    </row>
    <row r="87" spans="5:6" x14ac:dyDescent="0.2">
      <c r="E87" s="13" t="s">
        <v>56</v>
      </c>
      <c r="F87" s="14">
        <f>F85+F86</f>
        <v>8705</v>
      </c>
    </row>
    <row r="88" spans="5:6" x14ac:dyDescent="0.2">
      <c r="E88" s="3" t="s">
        <v>53</v>
      </c>
    </row>
    <row r="89" spans="5:6" x14ac:dyDescent="0.2">
      <c r="E89" s="1" t="s">
        <v>54</v>
      </c>
      <c r="F89" s="11">
        <f>F52</f>
        <v>0</v>
      </c>
    </row>
    <row r="90" spans="5:6" x14ac:dyDescent="0.2">
      <c r="E90" s="1" t="s">
        <v>55</v>
      </c>
      <c r="F90" s="11">
        <f>F61</f>
        <v>0</v>
      </c>
    </row>
    <row r="91" spans="5:6" x14ac:dyDescent="0.2">
      <c r="E91" s="13" t="s">
        <v>56</v>
      </c>
      <c r="F91" s="14">
        <f>F89+F90</f>
        <v>0</v>
      </c>
    </row>
    <row r="92" spans="5:6" x14ac:dyDescent="0.2">
      <c r="E92" s="3" t="s">
        <v>57</v>
      </c>
    </row>
    <row r="93" spans="5:6" x14ac:dyDescent="0.2">
      <c r="E93" s="1" t="s">
        <v>54</v>
      </c>
      <c r="F93" s="11">
        <f>F53</f>
        <v>0</v>
      </c>
    </row>
    <row r="94" spans="5:6" x14ac:dyDescent="0.2">
      <c r="E94" s="1" t="s">
        <v>55</v>
      </c>
      <c r="F94" s="11">
        <f>F62</f>
        <v>0</v>
      </c>
    </row>
    <row r="95" spans="5:6" ht="17.25" customHeight="1" x14ac:dyDescent="0.2">
      <c r="E95" s="13" t="s">
        <v>56</v>
      </c>
      <c r="F95" s="14">
        <f>F93+F94</f>
        <v>0</v>
      </c>
    </row>
    <row r="96" spans="5:6" ht="13.5" thickBot="1" x14ac:dyDescent="0.25">
      <c r="E96" s="3" t="s">
        <v>59</v>
      </c>
      <c r="F96" s="12">
        <f>F71+F75+F79+F83+F87+F91+F95</f>
        <v>403315</v>
      </c>
    </row>
    <row r="97" spans="3:8" ht="13.5" thickTop="1" x14ac:dyDescent="0.2"/>
    <row r="98" spans="3:8" x14ac:dyDescent="0.2">
      <c r="F98" s="192" t="s">
        <v>17</v>
      </c>
      <c r="G98" s="192"/>
      <c r="H98" s="192"/>
    </row>
    <row r="99" spans="3:8" x14ac:dyDescent="0.2">
      <c r="C99" s="192"/>
      <c r="D99" s="192"/>
      <c r="E99" s="192"/>
      <c r="F99" s="192"/>
      <c r="G99" s="192"/>
      <c r="H99" s="192"/>
    </row>
    <row r="100" spans="3:8" x14ac:dyDescent="0.2">
      <c r="C100" s="3"/>
    </row>
    <row r="101" spans="3:8" x14ac:dyDescent="0.2">
      <c r="C101" s="193"/>
      <c r="D101" s="193"/>
      <c r="E101" s="193"/>
      <c r="F101" s="193" t="s">
        <v>197</v>
      </c>
      <c r="G101" s="193"/>
      <c r="H101" s="193"/>
    </row>
    <row r="102" spans="3:8" x14ac:dyDescent="0.2">
      <c r="C102" s="192"/>
      <c r="D102" s="192"/>
      <c r="E102" s="192"/>
      <c r="F102" s="192" t="s">
        <v>198</v>
      </c>
      <c r="G102" s="192"/>
      <c r="H102" s="192"/>
    </row>
  </sheetData>
  <mergeCells count="16">
    <mergeCell ref="F98:H98"/>
    <mergeCell ref="C99:E99"/>
    <mergeCell ref="C102:E102"/>
    <mergeCell ref="C101:E101"/>
    <mergeCell ref="F102:H102"/>
    <mergeCell ref="F101:H101"/>
    <mergeCell ref="F99:H99"/>
    <mergeCell ref="C10:D10"/>
    <mergeCell ref="C1:H1"/>
    <mergeCell ref="C2:H2"/>
    <mergeCell ref="C3:H3"/>
    <mergeCell ref="C4:H4"/>
    <mergeCell ref="C5:H5"/>
    <mergeCell ref="C6:H6"/>
    <mergeCell ref="C7:H7"/>
    <mergeCell ref="C8:H8"/>
  </mergeCells>
  <printOptions horizontalCentered="1"/>
  <pageMargins left="0.25" right="0.25" top="0.25" bottom="0.25" header="0.3" footer="0.3"/>
  <pageSetup paperSize="155" scale="70" orientation="portrait" r:id="rId1"/>
  <headerFooter>
    <oddFooter>&amp;L&amp;8&amp;D&amp;C&amp;8Page &amp;P of &amp;N</oddFooter>
  </headerFooter>
  <ignoredErrors>
    <ignoredError sqref="F48 H4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2"/>
  <sheetViews>
    <sheetView topLeftCell="B13" workbookViewId="0">
      <selection activeCell="E18" sqref="E18"/>
    </sheetView>
  </sheetViews>
  <sheetFormatPr defaultRowHeight="12.75" x14ac:dyDescent="0.2"/>
  <cols>
    <col min="1" max="1" width="18.140625" style="1" hidden="1" customWidth="1"/>
    <col min="2" max="2" width="3.28515625" style="2" customWidth="1"/>
    <col min="3" max="3" width="5.140625" style="1" customWidth="1"/>
    <col min="4" max="4" width="5.85546875" style="1" customWidth="1"/>
    <col min="5" max="5" width="47.42578125" style="1" customWidth="1"/>
    <col min="6" max="6" width="16.28515625" style="1" customWidth="1"/>
    <col min="7" max="7" width="14.85546875" style="1" customWidth="1"/>
    <col min="8" max="8" width="16.5703125" style="1" customWidth="1"/>
    <col min="9" max="9" width="10.85546875" style="1" bestFit="1" customWidth="1"/>
    <col min="10" max="16384" width="9.140625" style="1"/>
  </cols>
  <sheetData>
    <row r="1" spans="3:10" x14ac:dyDescent="0.2">
      <c r="C1" s="192" t="s">
        <v>0</v>
      </c>
      <c r="D1" s="192"/>
      <c r="E1" s="192"/>
      <c r="F1" s="192"/>
      <c r="G1" s="192"/>
      <c r="H1" s="192"/>
    </row>
    <row r="2" spans="3:10" x14ac:dyDescent="0.2">
      <c r="C2" s="192" t="s">
        <v>1</v>
      </c>
      <c r="D2" s="192"/>
      <c r="E2" s="192"/>
      <c r="F2" s="192"/>
      <c r="G2" s="192"/>
      <c r="H2" s="192"/>
    </row>
    <row r="3" spans="3:10" x14ac:dyDescent="0.2">
      <c r="C3" s="192"/>
      <c r="D3" s="192"/>
      <c r="E3" s="192"/>
      <c r="F3" s="192"/>
      <c r="G3" s="192"/>
      <c r="H3" s="192"/>
    </row>
    <row r="4" spans="3:10" x14ac:dyDescent="0.2">
      <c r="C4" s="193" t="s">
        <v>2</v>
      </c>
      <c r="D4" s="193"/>
      <c r="E4" s="193"/>
      <c r="F4" s="193"/>
      <c r="G4" s="193"/>
      <c r="H4" s="193"/>
    </row>
    <row r="5" spans="3:10" x14ac:dyDescent="0.2">
      <c r="C5" s="192" t="s">
        <v>207</v>
      </c>
      <c r="D5" s="192"/>
      <c r="E5" s="192"/>
      <c r="F5" s="192"/>
      <c r="G5" s="192"/>
      <c r="H5" s="192"/>
    </row>
    <row r="6" spans="3:10" x14ac:dyDescent="0.2">
      <c r="C6" s="192"/>
      <c r="D6" s="192"/>
      <c r="E6" s="192"/>
      <c r="F6" s="192"/>
      <c r="G6" s="192"/>
      <c r="H6" s="192"/>
    </row>
    <row r="7" spans="3:10" x14ac:dyDescent="0.2">
      <c r="C7" s="193" t="s">
        <v>209</v>
      </c>
      <c r="D7" s="193"/>
      <c r="E7" s="193"/>
      <c r="F7" s="193"/>
      <c r="G7" s="193"/>
      <c r="H7" s="193"/>
    </row>
    <row r="8" spans="3:10" x14ac:dyDescent="0.2">
      <c r="C8" s="192" t="s">
        <v>20</v>
      </c>
      <c r="D8" s="192"/>
      <c r="E8" s="192"/>
      <c r="F8" s="192"/>
      <c r="G8" s="192"/>
      <c r="H8" s="192"/>
    </row>
    <row r="10" spans="3:10" ht="38.25" x14ac:dyDescent="0.2">
      <c r="C10" s="191" t="s">
        <v>3</v>
      </c>
      <c r="D10" s="191"/>
      <c r="E10" s="16" t="s">
        <v>4</v>
      </c>
      <c r="F10" s="16" t="s">
        <v>61</v>
      </c>
      <c r="G10" s="16" t="s">
        <v>16</v>
      </c>
      <c r="H10" s="16" t="s">
        <v>62</v>
      </c>
      <c r="I10" s="15"/>
      <c r="J10" s="15"/>
    </row>
    <row r="11" spans="3:10" x14ac:dyDescent="0.2">
      <c r="C11" s="17" t="s">
        <v>6</v>
      </c>
      <c r="D11" s="18"/>
      <c r="E11" s="19"/>
      <c r="F11" s="8"/>
      <c r="G11" s="19"/>
      <c r="H11" s="19"/>
    </row>
    <row r="12" spans="3:10" x14ac:dyDescent="0.2">
      <c r="C12" s="27"/>
      <c r="D12" s="20" t="s">
        <v>7</v>
      </c>
      <c r="E12" s="21"/>
      <c r="F12" s="20">
        <v>0</v>
      </c>
      <c r="G12" s="21"/>
      <c r="H12" s="20">
        <v>0</v>
      </c>
    </row>
    <row r="13" spans="3:10" x14ac:dyDescent="0.2">
      <c r="C13" s="28"/>
      <c r="D13" s="20" t="s">
        <v>21</v>
      </c>
      <c r="E13" s="21"/>
      <c r="F13" s="20">
        <f>SUM(F14:F28)</f>
        <v>230340</v>
      </c>
      <c r="G13" s="20">
        <f>SUM(G14:G28)</f>
        <v>126570</v>
      </c>
      <c r="H13" s="20">
        <f>SUM(H14:H28)</f>
        <v>103770</v>
      </c>
    </row>
    <row r="14" spans="3:10" x14ac:dyDescent="0.2">
      <c r="C14" s="28"/>
      <c r="D14" s="31"/>
      <c r="E14" s="21" t="s">
        <v>8</v>
      </c>
      <c r="F14" s="9">
        <f>SUM(G14:H14)</f>
        <v>27000</v>
      </c>
      <c r="G14" s="139">
        <f>'ROI - JAN.'!F14</f>
        <v>27000</v>
      </c>
      <c r="H14" s="9"/>
    </row>
    <row r="15" spans="3:10" x14ac:dyDescent="0.2">
      <c r="C15" s="28"/>
      <c r="D15" s="32"/>
      <c r="E15" s="21" t="s">
        <v>22</v>
      </c>
      <c r="F15" s="9">
        <f t="shared" ref="F15:F46" si="0">SUM(G15:H15)</f>
        <v>0</v>
      </c>
      <c r="G15" s="139">
        <f>'ROI - JAN.'!F15</f>
        <v>0</v>
      </c>
      <c r="H15" s="9"/>
    </row>
    <row r="16" spans="3:10" x14ac:dyDescent="0.2">
      <c r="C16" s="28"/>
      <c r="D16" s="32"/>
      <c r="E16" s="21" t="s">
        <v>23</v>
      </c>
      <c r="F16" s="9">
        <f t="shared" si="0"/>
        <v>115070</v>
      </c>
      <c r="G16" s="139">
        <f>'ROI - JAN.'!F16</f>
        <v>52300</v>
      </c>
      <c r="H16" s="9">
        <v>62770</v>
      </c>
    </row>
    <row r="17" spans="2:8" x14ac:dyDescent="0.2">
      <c r="C17" s="28"/>
      <c r="D17" s="32"/>
      <c r="E17" s="21" t="s">
        <v>24</v>
      </c>
      <c r="F17" s="9">
        <f t="shared" si="0"/>
        <v>0</v>
      </c>
      <c r="G17" s="139">
        <f>'ROI - JAN.'!F17</f>
        <v>0</v>
      </c>
      <c r="H17" s="9"/>
    </row>
    <row r="18" spans="2:8" x14ac:dyDescent="0.2">
      <c r="C18" s="28"/>
      <c r="D18" s="32"/>
      <c r="E18" s="21" t="s">
        <v>25</v>
      </c>
      <c r="F18" s="9">
        <f t="shared" si="0"/>
        <v>0</v>
      </c>
      <c r="G18" s="139">
        <f>'ROI - JAN.'!F18</f>
        <v>0</v>
      </c>
      <c r="H18" s="9"/>
    </row>
    <row r="19" spans="2:8" x14ac:dyDescent="0.2">
      <c r="C19" s="28"/>
      <c r="D19" s="32"/>
      <c r="E19" s="21" t="s">
        <v>26</v>
      </c>
      <c r="F19" s="9">
        <f t="shared" si="0"/>
        <v>0</v>
      </c>
      <c r="G19" s="139">
        <f>'ROI - JAN.'!F19</f>
        <v>0</v>
      </c>
      <c r="H19" s="9"/>
    </row>
    <row r="20" spans="2:8" x14ac:dyDescent="0.2">
      <c r="C20" s="28"/>
      <c r="D20" s="32"/>
      <c r="E20" s="21" t="s">
        <v>27</v>
      </c>
      <c r="F20" s="9">
        <f t="shared" si="0"/>
        <v>0</v>
      </c>
      <c r="G20" s="139">
        <f>'ROI - JAN.'!F20</f>
        <v>0</v>
      </c>
      <c r="H20" s="9"/>
    </row>
    <row r="21" spans="2:8" x14ac:dyDescent="0.2">
      <c r="C21" s="28"/>
      <c r="D21" s="32"/>
      <c r="E21" s="21" t="s">
        <v>28</v>
      </c>
      <c r="F21" s="9">
        <f t="shared" si="0"/>
        <v>48900</v>
      </c>
      <c r="G21" s="139">
        <f>'ROI - JAN.'!F21</f>
        <v>27700</v>
      </c>
      <c r="H21" s="9">
        <f>(13000)+8200</f>
        <v>21200</v>
      </c>
    </row>
    <row r="22" spans="2:8" s="5" customFormat="1" x14ac:dyDescent="0.2">
      <c r="B22" s="6"/>
      <c r="C22" s="29"/>
      <c r="D22" s="33"/>
      <c r="E22" s="23" t="s">
        <v>29</v>
      </c>
      <c r="F22" s="9">
        <f t="shared" si="0"/>
        <v>0</v>
      </c>
      <c r="G22" s="139">
        <f>'ROI - JAN.'!F22</f>
        <v>0</v>
      </c>
      <c r="H22" s="9"/>
    </row>
    <row r="23" spans="2:8" x14ac:dyDescent="0.2">
      <c r="C23" s="28"/>
      <c r="D23" s="32"/>
      <c r="E23" s="21" t="s">
        <v>30</v>
      </c>
      <c r="F23" s="9">
        <f t="shared" si="0"/>
        <v>0</v>
      </c>
      <c r="G23" s="139">
        <f>'ROI - JAN.'!F23</f>
        <v>0</v>
      </c>
      <c r="H23" s="9"/>
    </row>
    <row r="24" spans="2:8" x14ac:dyDescent="0.2">
      <c r="C24" s="28"/>
      <c r="D24" s="32"/>
      <c r="E24" s="21" t="s">
        <v>31</v>
      </c>
      <c r="F24" s="9">
        <f t="shared" si="0"/>
        <v>29800</v>
      </c>
      <c r="G24" s="139">
        <f>'ROI - JAN.'!F24</f>
        <v>13000</v>
      </c>
      <c r="H24" s="9">
        <v>16800</v>
      </c>
    </row>
    <row r="25" spans="2:8" x14ac:dyDescent="0.2">
      <c r="C25" s="28"/>
      <c r="D25" s="32"/>
      <c r="E25" s="21" t="s">
        <v>32</v>
      </c>
      <c r="F25" s="9">
        <f t="shared" si="0"/>
        <v>0</v>
      </c>
      <c r="G25" s="139">
        <f>'ROI - JAN.'!F25</f>
        <v>0</v>
      </c>
      <c r="H25" s="9"/>
    </row>
    <row r="26" spans="2:8" x14ac:dyDescent="0.2">
      <c r="C26" s="28"/>
      <c r="D26" s="32"/>
      <c r="E26" s="21" t="s">
        <v>33</v>
      </c>
      <c r="F26" s="9">
        <f t="shared" si="0"/>
        <v>0</v>
      </c>
      <c r="G26" s="139">
        <f>'ROI - JAN.'!F26</f>
        <v>0</v>
      </c>
      <c r="H26" s="9"/>
    </row>
    <row r="27" spans="2:8" x14ac:dyDescent="0.2">
      <c r="C27" s="28"/>
      <c r="D27" s="32"/>
      <c r="E27" s="21" t="s">
        <v>194</v>
      </c>
      <c r="F27" s="9">
        <f t="shared" si="0"/>
        <v>9570</v>
      </c>
      <c r="G27" s="139">
        <f>'ROI - JAN.'!F27</f>
        <v>6570</v>
      </c>
      <c r="H27" s="9">
        <v>3000</v>
      </c>
    </row>
    <row r="28" spans="2:8" x14ac:dyDescent="0.2">
      <c r="C28" s="28"/>
      <c r="D28" s="34"/>
      <c r="E28" s="21" t="s">
        <v>34</v>
      </c>
      <c r="F28" s="9">
        <f t="shared" si="0"/>
        <v>0</v>
      </c>
      <c r="G28" s="139">
        <f>'ROI - JAN.'!F28</f>
        <v>0</v>
      </c>
      <c r="H28" s="9"/>
    </row>
    <row r="29" spans="2:8" x14ac:dyDescent="0.2">
      <c r="C29" s="28"/>
      <c r="D29" s="22" t="s">
        <v>35</v>
      </c>
      <c r="E29" s="21"/>
      <c r="F29" s="20">
        <f>SUM(F30:F40)</f>
        <v>546290</v>
      </c>
      <c r="G29" s="20">
        <f>SUM(G30:G40)</f>
        <v>266040</v>
      </c>
      <c r="H29" s="20">
        <f>SUM(H30:H40)</f>
        <v>280250</v>
      </c>
    </row>
    <row r="30" spans="2:8" hidden="1" x14ac:dyDescent="0.2">
      <c r="C30" s="28"/>
      <c r="D30" s="31"/>
      <c r="E30" s="21" t="s">
        <v>36</v>
      </c>
      <c r="F30" s="9">
        <f t="shared" si="0"/>
        <v>0</v>
      </c>
      <c r="G30" s="139">
        <f>'ROI - JAN.'!F30</f>
        <v>0</v>
      </c>
      <c r="H30" s="9"/>
    </row>
    <row r="31" spans="2:8" hidden="1" x14ac:dyDescent="0.2">
      <c r="C31" s="28"/>
      <c r="D31" s="32"/>
      <c r="E31" s="21" t="s">
        <v>37</v>
      </c>
      <c r="F31" s="9">
        <f t="shared" si="0"/>
        <v>0</v>
      </c>
      <c r="G31" s="139">
        <f>'ROI - JAN.'!F31</f>
        <v>0</v>
      </c>
      <c r="H31" s="9"/>
    </row>
    <row r="32" spans="2:8" hidden="1" x14ac:dyDescent="0.2">
      <c r="C32" s="28"/>
      <c r="D32" s="32"/>
      <c r="E32" s="21" t="s">
        <v>38</v>
      </c>
      <c r="F32" s="9">
        <f t="shared" si="0"/>
        <v>0</v>
      </c>
      <c r="G32" s="139">
        <f>'ROI - JAN.'!F32</f>
        <v>0</v>
      </c>
      <c r="H32" s="9"/>
    </row>
    <row r="33" spans="2:8" x14ac:dyDescent="0.2">
      <c r="C33" s="28"/>
      <c r="D33" s="32"/>
      <c r="E33" s="21" t="s">
        <v>203</v>
      </c>
      <c r="F33" s="9">
        <f t="shared" si="0"/>
        <v>72000</v>
      </c>
      <c r="G33" s="139">
        <f>'ROI - JAN.'!F33</f>
        <v>42000</v>
      </c>
      <c r="H33" s="9">
        <v>30000</v>
      </c>
    </row>
    <row r="34" spans="2:8" x14ac:dyDescent="0.2">
      <c r="C34" s="28"/>
      <c r="D34" s="32"/>
      <c r="E34" s="21" t="s">
        <v>40</v>
      </c>
      <c r="F34" s="9">
        <f t="shared" si="0"/>
        <v>25000</v>
      </c>
      <c r="G34" s="139">
        <f>'ROI - JAN.'!F34</f>
        <v>0</v>
      </c>
      <c r="H34" s="9">
        <v>25000</v>
      </c>
    </row>
    <row r="35" spans="2:8" x14ac:dyDescent="0.2">
      <c r="C35" s="28"/>
      <c r="D35" s="32"/>
      <c r="E35" s="21" t="s">
        <v>41</v>
      </c>
      <c r="F35" s="9">
        <f t="shared" si="0"/>
        <v>48000</v>
      </c>
      <c r="G35" s="139">
        <f>'ROI - JAN.'!F35</f>
        <v>18000</v>
      </c>
      <c r="H35" s="9">
        <v>30000</v>
      </c>
    </row>
    <row r="36" spans="2:8" s="3" customFormat="1" hidden="1" x14ac:dyDescent="0.2">
      <c r="B36" s="4"/>
      <c r="C36" s="28"/>
      <c r="D36" s="32"/>
      <c r="E36" s="21" t="s">
        <v>42</v>
      </c>
      <c r="F36" s="9">
        <f t="shared" si="0"/>
        <v>0</v>
      </c>
      <c r="G36" s="139">
        <f>'ROI - JAN.'!F36</f>
        <v>0</v>
      </c>
      <c r="H36" s="20"/>
    </row>
    <row r="37" spans="2:8" hidden="1" x14ac:dyDescent="0.2">
      <c r="C37" s="28"/>
      <c r="D37" s="32"/>
      <c r="E37" s="21" t="s">
        <v>43</v>
      </c>
      <c r="F37" s="9">
        <f t="shared" si="0"/>
        <v>0</v>
      </c>
      <c r="G37" s="139">
        <f>'ROI - JAN.'!F37</f>
        <v>0</v>
      </c>
      <c r="H37" s="9"/>
    </row>
    <row r="38" spans="2:8" hidden="1" x14ac:dyDescent="0.2">
      <c r="C38" s="28"/>
      <c r="D38" s="32"/>
      <c r="E38" s="21" t="s">
        <v>44</v>
      </c>
      <c r="F38" s="9">
        <f t="shared" si="0"/>
        <v>0</v>
      </c>
      <c r="G38" s="139">
        <f>'ROI - JAN.'!F38</f>
        <v>0</v>
      </c>
      <c r="H38" s="9"/>
    </row>
    <row r="39" spans="2:8" x14ac:dyDescent="0.2">
      <c r="C39" s="28"/>
      <c r="D39" s="32"/>
      <c r="E39" s="21" t="s">
        <v>204</v>
      </c>
      <c r="F39" s="9">
        <f t="shared" si="0"/>
        <v>361690</v>
      </c>
      <c r="G39" s="139">
        <f>'ROI - JAN.'!F39</f>
        <v>187440</v>
      </c>
      <c r="H39" s="9">
        <f>(138000)+36250</f>
        <v>174250</v>
      </c>
    </row>
    <row r="40" spans="2:8" x14ac:dyDescent="0.2">
      <c r="C40" s="28"/>
      <c r="D40" s="34"/>
      <c r="E40" s="21" t="s">
        <v>199</v>
      </c>
      <c r="F40" s="9">
        <f t="shared" si="0"/>
        <v>39600</v>
      </c>
      <c r="G40" s="139">
        <f>'ROI - JAN.'!F40</f>
        <v>18600</v>
      </c>
      <c r="H40" s="9">
        <v>21000</v>
      </c>
    </row>
    <row r="41" spans="2:8" x14ac:dyDescent="0.2">
      <c r="C41" s="28"/>
      <c r="D41" s="22" t="s">
        <v>10</v>
      </c>
      <c r="E41" s="21"/>
      <c r="F41" s="20">
        <f>SUM(F42:F46)</f>
        <v>2126</v>
      </c>
      <c r="G41" s="20">
        <f>SUM(G42:G46)</f>
        <v>2000</v>
      </c>
      <c r="H41" s="20">
        <f>SUM(H42:H46)</f>
        <v>126</v>
      </c>
    </row>
    <row r="42" spans="2:8" hidden="1" x14ac:dyDescent="0.2">
      <c r="C42" s="28"/>
      <c r="D42" s="31"/>
      <c r="E42" s="21" t="s">
        <v>116</v>
      </c>
      <c r="F42" s="9">
        <f t="shared" si="0"/>
        <v>0</v>
      </c>
      <c r="G42" s="139">
        <f>'ROI - JAN.'!F43</f>
        <v>0</v>
      </c>
      <c r="H42" s="20"/>
    </row>
    <row r="43" spans="2:8" s="3" customFormat="1" x14ac:dyDescent="0.2">
      <c r="B43" s="4"/>
      <c r="C43" s="28"/>
      <c r="D43" s="31"/>
      <c r="E43" s="21" t="s">
        <v>46</v>
      </c>
      <c r="F43" s="9">
        <f t="shared" si="0"/>
        <v>126</v>
      </c>
      <c r="G43" s="139">
        <f>'ROI - JAN.'!F44</f>
        <v>0</v>
      </c>
      <c r="H43" s="9">
        <v>126</v>
      </c>
    </row>
    <row r="44" spans="2:8" x14ac:dyDescent="0.2">
      <c r="C44" s="28"/>
      <c r="D44" s="32"/>
      <c r="E44" s="21" t="s">
        <v>47</v>
      </c>
      <c r="F44" s="9">
        <f t="shared" si="0"/>
        <v>2000</v>
      </c>
      <c r="G44" s="139">
        <f>'ROI - JAN.'!F45</f>
        <v>2000</v>
      </c>
      <c r="H44" s="20"/>
    </row>
    <row r="45" spans="2:8" hidden="1" x14ac:dyDescent="0.2">
      <c r="C45" s="28"/>
      <c r="D45" s="32"/>
      <c r="E45" s="21" t="s">
        <v>48</v>
      </c>
      <c r="F45" s="9">
        <f t="shared" si="0"/>
        <v>0</v>
      </c>
      <c r="G45" s="139">
        <f>'ROI - JAN.'!F46</f>
        <v>0</v>
      </c>
      <c r="H45" s="9"/>
    </row>
    <row r="46" spans="2:8" hidden="1" x14ac:dyDescent="0.2">
      <c r="C46" s="28"/>
      <c r="D46" s="34"/>
      <c r="E46" s="21" t="s">
        <v>49</v>
      </c>
      <c r="F46" s="9">
        <f t="shared" si="0"/>
        <v>0</v>
      </c>
      <c r="G46" s="139">
        <f>'ROI - JAN.'!F47</f>
        <v>0</v>
      </c>
      <c r="H46" s="9"/>
    </row>
    <row r="47" spans="2:8" x14ac:dyDescent="0.2">
      <c r="C47" s="28"/>
      <c r="D47" s="22" t="s">
        <v>50</v>
      </c>
      <c r="E47" s="21"/>
      <c r="F47" s="20">
        <f>SUM(F48:F50)</f>
        <v>35225</v>
      </c>
      <c r="G47" s="20">
        <f>SUM(G48:G50)</f>
        <v>8705</v>
      </c>
      <c r="H47" s="20">
        <f>SUM(H48:H50)</f>
        <v>26520</v>
      </c>
    </row>
    <row r="48" spans="2:8" hidden="1" x14ac:dyDescent="0.2">
      <c r="C48" s="28"/>
      <c r="D48" s="31"/>
      <c r="E48" s="21" t="s">
        <v>51</v>
      </c>
      <c r="F48" s="9">
        <f>H48+G48</f>
        <v>0</v>
      </c>
      <c r="G48" s="139">
        <f>'ROI - JAN.'!F49</f>
        <v>0</v>
      </c>
      <c r="H48" s="9"/>
    </row>
    <row r="49" spans="3:8" x14ac:dyDescent="0.2">
      <c r="C49" s="28"/>
      <c r="D49" s="32"/>
      <c r="E49" s="21" t="s">
        <v>205</v>
      </c>
      <c r="F49" s="9">
        <f>H49+G49</f>
        <v>1800</v>
      </c>
      <c r="G49" s="139">
        <f>'ROI - JAN.'!F50</f>
        <v>0</v>
      </c>
      <c r="H49" s="9">
        <v>1800</v>
      </c>
    </row>
    <row r="50" spans="3:8" x14ac:dyDescent="0.2">
      <c r="C50" s="28"/>
      <c r="D50" s="34"/>
      <c r="E50" s="21" t="s">
        <v>52</v>
      </c>
      <c r="F50" s="9">
        <f>H50+G50</f>
        <v>33425</v>
      </c>
      <c r="G50" s="139">
        <f>'ROI - JAN.'!F51</f>
        <v>8705</v>
      </c>
      <c r="H50" s="9">
        <v>24720</v>
      </c>
    </row>
    <row r="51" spans="3:8" x14ac:dyDescent="0.2">
      <c r="C51" s="28"/>
      <c r="D51" s="22" t="s">
        <v>53</v>
      </c>
      <c r="E51" s="21"/>
      <c r="F51" s="20">
        <v>0</v>
      </c>
      <c r="G51" s="21"/>
      <c r="H51" s="20">
        <v>0</v>
      </c>
    </row>
    <row r="52" spans="3:8" x14ac:dyDescent="0.2">
      <c r="C52" s="30"/>
      <c r="D52" s="22" t="s">
        <v>57</v>
      </c>
      <c r="E52" s="21"/>
      <c r="F52" s="20">
        <v>0</v>
      </c>
      <c r="G52" s="21"/>
      <c r="H52" s="20">
        <v>0</v>
      </c>
    </row>
    <row r="53" spans="3:8" x14ac:dyDescent="0.2">
      <c r="C53" s="20" t="s">
        <v>11</v>
      </c>
      <c r="D53" s="22"/>
      <c r="E53" s="21"/>
      <c r="F53" s="9">
        <f>F12+F13+F29+F41+F47+F51+F52</f>
        <v>813981</v>
      </c>
      <c r="G53" s="9">
        <f>G12+G13+G29+G41+G47+G51+G52</f>
        <v>403315</v>
      </c>
      <c r="H53" s="9">
        <f>H12+H13+H29+H41+H47+H51+H52</f>
        <v>410666</v>
      </c>
    </row>
    <row r="54" spans="3:8" x14ac:dyDescent="0.2">
      <c r="C54" s="20" t="s">
        <v>12</v>
      </c>
      <c r="D54" s="22"/>
      <c r="E54" s="21"/>
      <c r="F54" s="9"/>
      <c r="G54" s="21"/>
      <c r="H54" s="9"/>
    </row>
    <row r="55" spans="3:8" hidden="1" x14ac:dyDescent="0.2">
      <c r="C55" s="27"/>
      <c r="D55" s="22" t="s">
        <v>7</v>
      </c>
      <c r="E55" s="21"/>
      <c r="F55" s="9">
        <v>0</v>
      </c>
      <c r="G55" s="21"/>
      <c r="H55" s="9">
        <v>0</v>
      </c>
    </row>
    <row r="56" spans="3:8" hidden="1" x14ac:dyDescent="0.2">
      <c r="C56" s="28"/>
      <c r="D56" s="22" t="s">
        <v>21</v>
      </c>
      <c r="E56" s="21"/>
      <c r="F56" s="9">
        <v>0</v>
      </c>
      <c r="G56" s="21"/>
      <c r="H56" s="9">
        <v>0</v>
      </c>
    </row>
    <row r="57" spans="3:8" hidden="1" x14ac:dyDescent="0.2">
      <c r="C57" s="28"/>
      <c r="D57" s="22" t="s">
        <v>35</v>
      </c>
      <c r="E57" s="21"/>
      <c r="F57" s="9">
        <v>0</v>
      </c>
      <c r="G57" s="21"/>
      <c r="H57" s="9">
        <v>0</v>
      </c>
    </row>
    <row r="58" spans="3:8" hidden="1" x14ac:dyDescent="0.2">
      <c r="C58" s="28"/>
      <c r="D58" s="22" t="s">
        <v>10</v>
      </c>
      <c r="E58" s="21"/>
      <c r="F58" s="9">
        <v>0</v>
      </c>
      <c r="G58" s="21"/>
      <c r="H58" s="9">
        <v>0</v>
      </c>
    </row>
    <row r="59" spans="3:8" hidden="1" x14ac:dyDescent="0.2">
      <c r="C59" s="28"/>
      <c r="D59" s="22" t="s">
        <v>50</v>
      </c>
      <c r="E59" s="21"/>
      <c r="F59" s="9">
        <v>0</v>
      </c>
      <c r="G59" s="21"/>
      <c r="H59" s="9">
        <v>0</v>
      </c>
    </row>
    <row r="60" spans="3:8" hidden="1" x14ac:dyDescent="0.2">
      <c r="C60" s="28"/>
      <c r="D60" s="22" t="s">
        <v>53</v>
      </c>
      <c r="E60" s="21"/>
      <c r="F60" s="9">
        <v>0</v>
      </c>
      <c r="G60" s="21"/>
      <c r="H60" s="9">
        <v>0</v>
      </c>
    </row>
    <row r="61" spans="3:8" hidden="1" x14ac:dyDescent="0.2">
      <c r="C61" s="30"/>
      <c r="D61" s="22" t="s">
        <v>57</v>
      </c>
      <c r="E61" s="21"/>
      <c r="F61" s="9">
        <v>0</v>
      </c>
      <c r="G61" s="21"/>
      <c r="H61" s="9">
        <v>0</v>
      </c>
    </row>
    <row r="62" spans="3:8" x14ac:dyDescent="0.2">
      <c r="C62" s="20" t="s">
        <v>13</v>
      </c>
      <c r="D62" s="22"/>
      <c r="E62" s="22"/>
      <c r="F62" s="20">
        <f>SUM(F55:F61)</f>
        <v>0</v>
      </c>
      <c r="G62" s="21"/>
      <c r="H62" s="20">
        <f>SUM(H55:H61)</f>
        <v>0</v>
      </c>
    </row>
    <row r="63" spans="3:8" x14ac:dyDescent="0.2">
      <c r="C63" s="24" t="s">
        <v>14</v>
      </c>
      <c r="D63" s="25"/>
      <c r="E63" s="26"/>
      <c r="F63" s="10">
        <f>F53+F62</f>
        <v>813981</v>
      </c>
      <c r="G63" s="10">
        <f>G53+G62</f>
        <v>403315</v>
      </c>
      <c r="H63" s="10">
        <f>H53+H62</f>
        <v>410666</v>
      </c>
    </row>
    <row r="64" spans="3:8" x14ac:dyDescent="0.2">
      <c r="C64" s="4"/>
      <c r="D64" s="3"/>
      <c r="F64" s="2"/>
    </row>
    <row r="65" spans="2:9" x14ac:dyDescent="0.2">
      <c r="E65" s="3" t="s">
        <v>15</v>
      </c>
    </row>
    <row r="66" spans="2:9" s="3" customFormat="1" x14ac:dyDescent="0.2">
      <c r="B66" s="4"/>
      <c r="C66" s="1"/>
      <c r="D66" s="1"/>
      <c r="E66" s="1"/>
      <c r="F66" s="1"/>
      <c r="G66" s="1"/>
      <c r="H66" s="1"/>
    </row>
    <row r="67" spans="2:9" x14ac:dyDescent="0.2">
      <c r="E67" s="3" t="s">
        <v>7</v>
      </c>
      <c r="G67" s="3"/>
      <c r="H67" s="173"/>
    </row>
    <row r="68" spans="2:9" x14ac:dyDescent="0.2">
      <c r="E68" s="1" t="s">
        <v>54</v>
      </c>
      <c r="F68" s="11">
        <f>F12</f>
        <v>0</v>
      </c>
      <c r="I68" s="11"/>
    </row>
    <row r="69" spans="2:9" x14ac:dyDescent="0.2">
      <c r="E69" s="1" t="s">
        <v>55</v>
      </c>
      <c r="F69" s="11">
        <f>F55</f>
        <v>0</v>
      </c>
    </row>
    <row r="70" spans="2:9" x14ac:dyDescent="0.2">
      <c r="E70" s="13" t="s">
        <v>56</v>
      </c>
      <c r="F70" s="14">
        <f>F68+F69</f>
        <v>0</v>
      </c>
      <c r="I70" s="11"/>
    </row>
    <row r="71" spans="2:9" x14ac:dyDescent="0.2">
      <c r="E71" s="3" t="s">
        <v>21</v>
      </c>
    </row>
    <row r="72" spans="2:9" x14ac:dyDescent="0.2">
      <c r="E72" s="1" t="s">
        <v>54</v>
      </c>
      <c r="F72" s="11">
        <f>F13</f>
        <v>230340</v>
      </c>
      <c r="I72" s="11"/>
    </row>
    <row r="73" spans="2:9" x14ac:dyDescent="0.2">
      <c r="E73" s="1" t="s">
        <v>55</v>
      </c>
      <c r="F73" s="11">
        <f>F56</f>
        <v>0</v>
      </c>
    </row>
    <row r="74" spans="2:9" x14ac:dyDescent="0.2">
      <c r="E74" s="13" t="s">
        <v>56</v>
      </c>
      <c r="F74" s="14">
        <f>F72+F73</f>
        <v>230340</v>
      </c>
    </row>
    <row r="75" spans="2:9" x14ac:dyDescent="0.2">
      <c r="E75" s="3" t="s">
        <v>58</v>
      </c>
    </row>
    <row r="76" spans="2:9" x14ac:dyDescent="0.2">
      <c r="E76" s="1" t="s">
        <v>54</v>
      </c>
      <c r="F76" s="11">
        <f>F29</f>
        <v>546290</v>
      </c>
    </row>
    <row r="77" spans="2:9" x14ac:dyDescent="0.2">
      <c r="E77" s="1" t="s">
        <v>55</v>
      </c>
      <c r="F77" s="11">
        <f>F57</f>
        <v>0</v>
      </c>
    </row>
    <row r="78" spans="2:9" x14ac:dyDescent="0.2">
      <c r="E78" s="13" t="s">
        <v>56</v>
      </c>
      <c r="F78" s="14">
        <f>F76+F77</f>
        <v>546290</v>
      </c>
    </row>
    <row r="79" spans="2:9" x14ac:dyDescent="0.2">
      <c r="E79" s="3" t="s">
        <v>10</v>
      </c>
    </row>
    <row r="80" spans="2:9" x14ac:dyDescent="0.2">
      <c r="E80" s="1" t="s">
        <v>54</v>
      </c>
      <c r="F80" s="11">
        <f>F41</f>
        <v>2126</v>
      </c>
    </row>
    <row r="81" spans="5:6" x14ac:dyDescent="0.2">
      <c r="E81" s="1" t="s">
        <v>55</v>
      </c>
      <c r="F81" s="11">
        <f>F58</f>
        <v>0</v>
      </c>
    </row>
    <row r="82" spans="5:6" x14ac:dyDescent="0.2">
      <c r="E82" s="13" t="s">
        <v>56</v>
      </c>
      <c r="F82" s="14">
        <f>F80+F81</f>
        <v>2126</v>
      </c>
    </row>
    <row r="83" spans="5:6" x14ac:dyDescent="0.2">
      <c r="E83" s="3" t="s">
        <v>50</v>
      </c>
    </row>
    <row r="84" spans="5:6" x14ac:dyDescent="0.2">
      <c r="E84" s="1" t="s">
        <v>54</v>
      </c>
      <c r="F84" s="11">
        <f>F47</f>
        <v>35225</v>
      </c>
    </row>
    <row r="85" spans="5:6" x14ac:dyDescent="0.2">
      <c r="E85" s="1" t="s">
        <v>55</v>
      </c>
      <c r="F85" s="11">
        <f>F59</f>
        <v>0</v>
      </c>
    </row>
    <row r="86" spans="5:6" x14ac:dyDescent="0.2">
      <c r="E86" s="13" t="s">
        <v>56</v>
      </c>
      <c r="F86" s="14">
        <f>F84+F85</f>
        <v>35225</v>
      </c>
    </row>
    <row r="87" spans="5:6" x14ac:dyDescent="0.2">
      <c r="E87" s="3" t="s">
        <v>53</v>
      </c>
    </row>
    <row r="88" spans="5:6" x14ac:dyDescent="0.2">
      <c r="E88" s="1" t="s">
        <v>54</v>
      </c>
      <c r="F88" s="11">
        <f>F51</f>
        <v>0</v>
      </c>
    </row>
    <row r="89" spans="5:6" x14ac:dyDescent="0.2">
      <c r="E89" s="1" t="s">
        <v>55</v>
      </c>
      <c r="F89" s="11">
        <f>F60</f>
        <v>0</v>
      </c>
    </row>
    <row r="90" spans="5:6" x14ac:dyDescent="0.2">
      <c r="E90" s="13" t="s">
        <v>56</v>
      </c>
      <c r="F90" s="14">
        <f>F88+F89</f>
        <v>0</v>
      </c>
    </row>
    <row r="91" spans="5:6" x14ac:dyDescent="0.2">
      <c r="E91" s="3" t="s">
        <v>57</v>
      </c>
    </row>
    <row r="92" spans="5:6" x14ac:dyDescent="0.2">
      <c r="E92" s="1" t="s">
        <v>54</v>
      </c>
      <c r="F92" s="11">
        <f>F52</f>
        <v>0</v>
      </c>
    </row>
    <row r="93" spans="5:6" x14ac:dyDescent="0.2">
      <c r="E93" s="1" t="s">
        <v>55</v>
      </c>
      <c r="F93" s="11">
        <f>F61</f>
        <v>0</v>
      </c>
    </row>
    <row r="94" spans="5:6" x14ac:dyDescent="0.2">
      <c r="E94" s="13" t="s">
        <v>56</v>
      </c>
      <c r="F94" s="14">
        <f>F92+F93</f>
        <v>0</v>
      </c>
    </row>
    <row r="95" spans="5:6" ht="13.5" thickBot="1" x14ac:dyDescent="0.25">
      <c r="E95" s="3" t="s">
        <v>59</v>
      </c>
      <c r="F95" s="12">
        <f>F70+F74+F78+F82+F86+F90+F94</f>
        <v>813981</v>
      </c>
    </row>
    <row r="96" spans="5:6" ht="13.5" thickTop="1" x14ac:dyDescent="0.2"/>
    <row r="98" spans="3:8" x14ac:dyDescent="0.2">
      <c r="C98" s="192"/>
      <c r="D98" s="192"/>
      <c r="E98" s="192"/>
      <c r="F98" s="192" t="s">
        <v>17</v>
      </c>
      <c r="G98" s="192"/>
      <c r="H98" s="192"/>
    </row>
    <row r="99" spans="3:8" x14ac:dyDescent="0.2">
      <c r="C99" s="3"/>
      <c r="F99" s="192"/>
      <c r="G99" s="192"/>
      <c r="H99" s="192"/>
    </row>
    <row r="100" spans="3:8" x14ac:dyDescent="0.2">
      <c r="C100" s="193"/>
      <c r="D100" s="193"/>
      <c r="E100" s="193"/>
    </row>
    <row r="101" spans="3:8" x14ac:dyDescent="0.2">
      <c r="C101" s="192"/>
      <c r="D101" s="192"/>
      <c r="E101" s="192"/>
      <c r="F101" s="193" t="s">
        <v>197</v>
      </c>
      <c r="G101" s="193"/>
      <c r="H101" s="193"/>
    </row>
    <row r="102" spans="3:8" x14ac:dyDescent="0.2">
      <c r="F102" s="192" t="s">
        <v>198</v>
      </c>
      <c r="G102" s="192"/>
      <c r="H102" s="192"/>
    </row>
  </sheetData>
  <mergeCells count="16">
    <mergeCell ref="F102:H102"/>
    <mergeCell ref="C6:H6"/>
    <mergeCell ref="C1:H1"/>
    <mergeCell ref="C2:H2"/>
    <mergeCell ref="C3:H3"/>
    <mergeCell ref="C4:H4"/>
    <mergeCell ref="C5:H5"/>
    <mergeCell ref="C101:E101"/>
    <mergeCell ref="F101:H101"/>
    <mergeCell ref="C7:H7"/>
    <mergeCell ref="C8:H8"/>
    <mergeCell ref="C10:D10"/>
    <mergeCell ref="C98:E98"/>
    <mergeCell ref="F98:H98"/>
    <mergeCell ref="C100:E100"/>
    <mergeCell ref="F99:H99"/>
  </mergeCells>
  <pageMargins left="0.5" right="0.25" top="0.5" bottom="0.25" header="0.3" footer="0.3"/>
  <pageSetup paperSize="155" scale="90" orientation="portrait" r:id="rId1"/>
  <ignoredErrors>
    <ignoredError sqref="F47 H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5"/>
  <sheetViews>
    <sheetView topLeftCell="C10" workbookViewId="0">
      <pane xSplit="3" ySplit="1" topLeftCell="F50" activePane="bottomRight" state="frozen"/>
      <selection activeCell="C10" sqref="C10"/>
      <selection pane="topRight" activeCell="F10" sqref="F10"/>
      <selection pane="bottomLeft" activeCell="C11" sqref="C11"/>
      <selection pane="bottomRight" activeCell="E23" sqref="E23"/>
    </sheetView>
  </sheetViews>
  <sheetFormatPr defaultRowHeight="12.75" x14ac:dyDescent="0.2"/>
  <cols>
    <col min="1" max="1" width="18.140625" style="5" hidden="1" customWidth="1"/>
    <col min="2" max="2" width="3.28515625" style="6" customWidth="1"/>
    <col min="3" max="3" width="5.140625" style="5" customWidth="1"/>
    <col min="4" max="4" width="5.85546875" style="5" customWidth="1"/>
    <col min="5" max="5" width="47.42578125" style="5" customWidth="1"/>
    <col min="6" max="6" width="16.28515625" style="5" customWidth="1"/>
    <col min="7" max="7" width="14.85546875" style="5" customWidth="1"/>
    <col min="8" max="8" width="16.5703125" style="5" customWidth="1"/>
    <col min="9" max="16384" width="9.140625" style="5"/>
  </cols>
  <sheetData>
    <row r="1" spans="3:10" x14ac:dyDescent="0.2">
      <c r="C1" s="195" t="s">
        <v>0</v>
      </c>
      <c r="D1" s="195"/>
      <c r="E1" s="195"/>
      <c r="F1" s="195"/>
      <c r="G1" s="195"/>
      <c r="H1" s="195"/>
    </row>
    <row r="2" spans="3:10" x14ac:dyDescent="0.2">
      <c r="C2" s="195" t="s">
        <v>1</v>
      </c>
      <c r="D2" s="195"/>
      <c r="E2" s="195"/>
      <c r="F2" s="195"/>
      <c r="G2" s="195"/>
      <c r="H2" s="195"/>
    </row>
    <row r="3" spans="3:10" x14ac:dyDescent="0.2">
      <c r="C3" s="195"/>
      <c r="D3" s="195"/>
      <c r="E3" s="195"/>
      <c r="F3" s="195"/>
      <c r="G3" s="195"/>
      <c r="H3" s="195"/>
    </row>
    <row r="4" spans="3:10" x14ac:dyDescent="0.2">
      <c r="C4" s="194" t="s">
        <v>2</v>
      </c>
      <c r="D4" s="194"/>
      <c r="E4" s="194"/>
      <c r="F4" s="194"/>
      <c r="G4" s="194"/>
      <c r="H4" s="194"/>
    </row>
    <row r="5" spans="3:10" x14ac:dyDescent="0.2">
      <c r="C5" s="195" t="s">
        <v>207</v>
      </c>
      <c r="D5" s="195"/>
      <c r="E5" s="195"/>
      <c r="F5" s="195"/>
      <c r="G5" s="195"/>
      <c r="H5" s="195"/>
    </row>
    <row r="6" spans="3:10" x14ac:dyDescent="0.2">
      <c r="C6" s="195"/>
      <c r="D6" s="195"/>
      <c r="E6" s="195"/>
      <c r="F6" s="195"/>
      <c r="G6" s="195"/>
      <c r="H6" s="195"/>
    </row>
    <row r="7" spans="3:10" x14ac:dyDescent="0.2">
      <c r="C7" s="194" t="s">
        <v>209</v>
      </c>
      <c r="D7" s="194"/>
      <c r="E7" s="194"/>
      <c r="F7" s="194"/>
      <c r="G7" s="194"/>
      <c r="H7" s="194"/>
    </row>
    <row r="8" spans="3:10" x14ac:dyDescent="0.2">
      <c r="C8" s="195" t="s">
        <v>210</v>
      </c>
      <c r="D8" s="195"/>
      <c r="E8" s="195"/>
      <c r="F8" s="195"/>
      <c r="G8" s="195"/>
      <c r="H8" s="195"/>
    </row>
    <row r="10" spans="3:10" ht="38.25" x14ac:dyDescent="0.2">
      <c r="C10" s="196" t="s">
        <v>3</v>
      </c>
      <c r="D10" s="196"/>
      <c r="E10" s="147" t="s">
        <v>4</v>
      </c>
      <c r="F10" s="147" t="s">
        <v>211</v>
      </c>
      <c r="G10" s="147" t="s">
        <v>20</v>
      </c>
      <c r="H10" s="147" t="s">
        <v>212</v>
      </c>
      <c r="I10" s="148"/>
      <c r="J10" s="148"/>
    </row>
    <row r="11" spans="3:10" x14ac:dyDescent="0.2">
      <c r="C11" s="149" t="s">
        <v>6</v>
      </c>
      <c r="D11" s="150"/>
      <c r="E11" s="151"/>
      <c r="F11" s="152"/>
      <c r="G11" s="151"/>
      <c r="H11" s="151"/>
    </row>
    <row r="12" spans="3:10" x14ac:dyDescent="0.2">
      <c r="C12" s="153"/>
      <c r="D12" s="154" t="s">
        <v>7</v>
      </c>
      <c r="E12" s="23"/>
      <c r="F12" s="154">
        <v>0</v>
      </c>
      <c r="G12" s="23"/>
      <c r="H12" s="154">
        <v>0</v>
      </c>
    </row>
    <row r="13" spans="3:10" x14ac:dyDescent="0.2">
      <c r="C13" s="29"/>
      <c r="D13" s="154" t="s">
        <v>21</v>
      </c>
      <c r="E13" s="23"/>
      <c r="F13" s="154">
        <f>SUM(F14:F28)</f>
        <v>363540</v>
      </c>
      <c r="G13" s="154">
        <f>SUM(G14:G28)</f>
        <v>230340</v>
      </c>
      <c r="H13" s="154">
        <f>SUM(H14:H28)</f>
        <v>133200</v>
      </c>
    </row>
    <row r="14" spans="3:10" x14ac:dyDescent="0.2">
      <c r="C14" s="29"/>
      <c r="D14" s="155"/>
      <c r="E14" s="171" t="s">
        <v>8</v>
      </c>
      <c r="F14" s="156">
        <f>SUM(G14:H14)</f>
        <v>27000</v>
      </c>
      <c r="G14" s="157">
        <f>'ROI - FEB.'!F14</f>
        <v>27000</v>
      </c>
      <c r="H14" s="156"/>
    </row>
    <row r="15" spans="3:10" x14ac:dyDescent="0.2">
      <c r="C15" s="29"/>
      <c r="D15" s="33"/>
      <c r="E15" s="171" t="s">
        <v>22</v>
      </c>
      <c r="F15" s="156">
        <f t="shared" ref="F15:F49" si="0">SUM(G15:H15)</f>
        <v>0</v>
      </c>
      <c r="G15" s="157">
        <f>'ROI - JAN.'!F15</f>
        <v>0</v>
      </c>
      <c r="H15" s="156"/>
    </row>
    <row r="16" spans="3:10" x14ac:dyDescent="0.2">
      <c r="C16" s="29"/>
      <c r="D16" s="33"/>
      <c r="E16" s="171" t="s">
        <v>23</v>
      </c>
      <c r="F16" s="156">
        <f>SUM(G16:H16)</f>
        <v>193570</v>
      </c>
      <c r="G16" s="157">
        <f>'ROI - FEB.'!F16</f>
        <v>115070</v>
      </c>
      <c r="H16" s="156">
        <f>((1000)+1000)+76500</f>
        <v>78500</v>
      </c>
    </row>
    <row r="17" spans="3:8" x14ac:dyDescent="0.2">
      <c r="C17" s="29"/>
      <c r="D17" s="33"/>
      <c r="E17" s="171" t="s">
        <v>24</v>
      </c>
      <c r="F17" s="156">
        <f t="shared" si="0"/>
        <v>0</v>
      </c>
      <c r="G17" s="157">
        <f>'ROI - JAN.'!F17</f>
        <v>0</v>
      </c>
      <c r="H17" s="156"/>
    </row>
    <row r="18" spans="3:8" x14ac:dyDescent="0.2">
      <c r="C18" s="29"/>
      <c r="D18" s="33"/>
      <c r="E18" s="171" t="s">
        <v>25</v>
      </c>
      <c r="F18" s="156">
        <f t="shared" si="0"/>
        <v>0</v>
      </c>
      <c r="G18" s="157">
        <f>'ROI - JAN.'!F18</f>
        <v>0</v>
      </c>
      <c r="H18" s="156"/>
    </row>
    <row r="19" spans="3:8" x14ac:dyDescent="0.2">
      <c r="C19" s="29"/>
      <c r="D19" s="33"/>
      <c r="E19" s="171" t="s">
        <v>26</v>
      </c>
      <c r="F19" s="156">
        <f t="shared" si="0"/>
        <v>0</v>
      </c>
      <c r="G19" s="157">
        <f>'ROI - JAN.'!F19</f>
        <v>0</v>
      </c>
      <c r="H19" s="156"/>
    </row>
    <row r="20" spans="3:8" x14ac:dyDescent="0.2">
      <c r="C20" s="29"/>
      <c r="D20" s="33"/>
      <c r="E20" s="171" t="s">
        <v>27</v>
      </c>
      <c r="F20" s="156">
        <f t="shared" si="0"/>
        <v>0</v>
      </c>
      <c r="G20" s="157">
        <f>'ROI - JAN.'!F20</f>
        <v>0</v>
      </c>
      <c r="H20" s="156"/>
    </row>
    <row r="21" spans="3:8" x14ac:dyDescent="0.2">
      <c r="C21" s="29"/>
      <c r="D21" s="33"/>
      <c r="E21" s="171" t="s">
        <v>225</v>
      </c>
      <c r="F21" s="156">
        <f>SUM(G21:H21)</f>
        <v>58000</v>
      </c>
      <c r="G21" s="157">
        <f>'ROI - FEB.'!F21</f>
        <v>48900</v>
      </c>
      <c r="H21" s="156">
        <f>(((1000)+1000)-8200-9700)+25000</f>
        <v>9100</v>
      </c>
    </row>
    <row r="22" spans="3:8" x14ac:dyDescent="0.2">
      <c r="C22" s="29"/>
      <c r="D22" s="33"/>
      <c r="E22" s="171" t="s">
        <v>30</v>
      </c>
      <c r="F22" s="156">
        <f t="shared" si="0"/>
        <v>0</v>
      </c>
      <c r="G22" s="157">
        <f>'ROI - JAN.'!F22</f>
        <v>0</v>
      </c>
      <c r="H22" s="156"/>
    </row>
    <row r="23" spans="3:8" x14ac:dyDescent="0.2">
      <c r="C23" s="29"/>
      <c r="D23" s="33"/>
      <c r="E23" s="171" t="s">
        <v>31</v>
      </c>
      <c r="F23" s="156">
        <f>SUM(G23:H23)</f>
        <v>49200</v>
      </c>
      <c r="G23" s="157">
        <f>'ROI - FEB.'!F24</f>
        <v>29800</v>
      </c>
      <c r="H23" s="156">
        <f>(1000)+18400</f>
        <v>19400</v>
      </c>
    </row>
    <row r="24" spans="3:8" x14ac:dyDescent="0.2">
      <c r="C24" s="29"/>
      <c r="D24" s="33"/>
      <c r="E24" s="171" t="s">
        <v>32</v>
      </c>
      <c r="F24" s="156">
        <f t="shared" si="0"/>
        <v>0</v>
      </c>
      <c r="G24" s="157">
        <f>'ROI - JAN.'!F25</f>
        <v>0</v>
      </c>
      <c r="H24" s="156"/>
    </row>
    <row r="25" spans="3:8" x14ac:dyDescent="0.2">
      <c r="C25" s="29"/>
      <c r="D25" s="33"/>
      <c r="E25" s="171" t="s">
        <v>33</v>
      </c>
      <c r="F25" s="156">
        <f t="shared" si="0"/>
        <v>0</v>
      </c>
      <c r="G25" s="157">
        <f>'ROI - JAN.'!F26</f>
        <v>0</v>
      </c>
      <c r="H25" s="156"/>
    </row>
    <row r="26" spans="3:8" x14ac:dyDescent="0.2">
      <c r="C26" s="29"/>
      <c r="D26" s="33"/>
      <c r="E26" s="171" t="s">
        <v>194</v>
      </c>
      <c r="F26" s="156">
        <f>SUM(G26:H26)</f>
        <v>15070</v>
      </c>
      <c r="G26" s="157">
        <f>'ROI - FEB.'!F27</f>
        <v>9570</v>
      </c>
      <c r="H26" s="156">
        <f>(50)+5450</f>
        <v>5500</v>
      </c>
    </row>
    <row r="27" spans="3:8" x14ac:dyDescent="0.2">
      <c r="C27" s="29"/>
      <c r="D27" s="158"/>
      <c r="E27" s="171" t="s">
        <v>34</v>
      </c>
      <c r="F27" s="156">
        <f t="shared" si="0"/>
        <v>0</v>
      </c>
      <c r="G27" s="157">
        <f>'ROI - JAN.'!F28</f>
        <v>0</v>
      </c>
      <c r="H27" s="156"/>
    </row>
    <row r="28" spans="3:8" x14ac:dyDescent="0.2">
      <c r="C28" s="29"/>
      <c r="D28" s="158"/>
      <c r="E28" s="171" t="s">
        <v>214</v>
      </c>
      <c r="F28" s="156">
        <f>SUM(G28:H28)</f>
        <v>20700</v>
      </c>
      <c r="G28" s="157">
        <v>0</v>
      </c>
      <c r="H28" s="156">
        <f>((9700)+8200)+2800</f>
        <v>20700</v>
      </c>
    </row>
    <row r="29" spans="3:8" x14ac:dyDescent="0.2">
      <c r="C29" s="29"/>
      <c r="D29" s="159" t="s">
        <v>35</v>
      </c>
      <c r="E29" s="171"/>
      <c r="F29" s="154">
        <f>SUM(F30:F43)</f>
        <v>846890</v>
      </c>
      <c r="G29" s="154">
        <f>SUM(G30:G43)</f>
        <v>546290</v>
      </c>
      <c r="H29" s="154">
        <f>SUM(H30:H43)</f>
        <v>300600</v>
      </c>
    </row>
    <row r="30" spans="3:8" hidden="1" x14ac:dyDescent="0.2">
      <c r="C30" s="29"/>
      <c r="D30" s="155"/>
      <c r="E30" s="171" t="s">
        <v>36</v>
      </c>
      <c r="F30" s="156">
        <f t="shared" si="0"/>
        <v>0</v>
      </c>
      <c r="G30" s="157">
        <f>'ROI - JAN.'!F30</f>
        <v>0</v>
      </c>
      <c r="H30" s="156"/>
    </row>
    <row r="31" spans="3:8" hidden="1" x14ac:dyDescent="0.2">
      <c r="C31" s="29"/>
      <c r="D31" s="33"/>
      <c r="E31" s="171" t="s">
        <v>37</v>
      </c>
      <c r="F31" s="156">
        <f t="shared" si="0"/>
        <v>0</v>
      </c>
      <c r="G31" s="157">
        <f>'ROI - JAN.'!F31</f>
        <v>0</v>
      </c>
      <c r="H31" s="156"/>
    </row>
    <row r="32" spans="3:8" hidden="1" x14ac:dyDescent="0.2">
      <c r="C32" s="29"/>
      <c r="D32" s="33"/>
      <c r="E32" s="171" t="s">
        <v>38</v>
      </c>
      <c r="F32" s="156">
        <f t="shared" si="0"/>
        <v>0</v>
      </c>
      <c r="G32" s="157">
        <f>'ROI - JAN.'!F32</f>
        <v>0</v>
      </c>
      <c r="H32" s="156"/>
    </row>
    <row r="33" spans="2:8" x14ac:dyDescent="0.2">
      <c r="C33" s="29"/>
      <c r="D33" s="33"/>
      <c r="E33" s="171" t="s">
        <v>39</v>
      </c>
      <c r="F33" s="156">
        <f t="shared" si="0"/>
        <v>0</v>
      </c>
      <c r="G33" s="157">
        <f>'ROI - FEB.'!F33</f>
        <v>72000</v>
      </c>
      <c r="H33" s="156">
        <f>((-18000)-24000)-30000</f>
        <v>-72000</v>
      </c>
    </row>
    <row r="34" spans="2:8" x14ac:dyDescent="0.2">
      <c r="C34" s="29"/>
      <c r="D34" s="33"/>
      <c r="E34" s="171" t="s">
        <v>40</v>
      </c>
      <c r="F34" s="156">
        <f>SUM(G34:H34)</f>
        <v>25000</v>
      </c>
      <c r="G34" s="157">
        <f>'ROI - FEB.'!F34</f>
        <v>25000</v>
      </c>
      <c r="H34" s="156"/>
    </row>
    <row r="35" spans="2:8" x14ac:dyDescent="0.2">
      <c r="C35" s="29"/>
      <c r="D35" s="33"/>
      <c r="E35" s="171" t="s">
        <v>41</v>
      </c>
      <c r="F35" s="156">
        <f>SUM(G35:H35)</f>
        <v>80000</v>
      </c>
      <c r="G35" s="157">
        <f>'ROI - FEB.'!F35</f>
        <v>48000</v>
      </c>
      <c r="H35" s="156">
        <v>32000</v>
      </c>
    </row>
    <row r="36" spans="2:8" s="161" customFormat="1" hidden="1" x14ac:dyDescent="0.2">
      <c r="B36" s="160"/>
      <c r="C36" s="29"/>
      <c r="D36" s="33"/>
      <c r="E36" s="171" t="s">
        <v>42</v>
      </c>
      <c r="F36" s="156">
        <f t="shared" si="0"/>
        <v>0</v>
      </c>
      <c r="G36" s="157">
        <f>'ROI - JAN.'!F36</f>
        <v>0</v>
      </c>
      <c r="H36" s="154"/>
    </row>
    <row r="37" spans="2:8" hidden="1" x14ac:dyDescent="0.2">
      <c r="C37" s="29"/>
      <c r="D37" s="33"/>
      <c r="E37" s="171" t="s">
        <v>43</v>
      </c>
      <c r="F37" s="156">
        <f t="shared" si="0"/>
        <v>0</v>
      </c>
      <c r="G37" s="157">
        <f>'ROI - JAN.'!F37</f>
        <v>0</v>
      </c>
      <c r="H37" s="156"/>
    </row>
    <row r="38" spans="2:8" hidden="1" x14ac:dyDescent="0.2">
      <c r="C38" s="29"/>
      <c r="D38" s="33"/>
      <c r="E38" s="171" t="s">
        <v>44</v>
      </c>
      <c r="F38" s="156">
        <f t="shared" si="0"/>
        <v>0</v>
      </c>
      <c r="G38" s="157">
        <f>'ROI - JAN.'!F38</f>
        <v>0</v>
      </c>
      <c r="H38" s="156"/>
    </row>
    <row r="39" spans="2:8" ht="12" customHeight="1" x14ac:dyDescent="0.2">
      <c r="C39" s="29"/>
      <c r="D39" s="33"/>
      <c r="E39" s="171" t="s">
        <v>45</v>
      </c>
      <c r="F39" s="156">
        <f>SUM(G39:H39)</f>
        <v>102250</v>
      </c>
      <c r="G39" s="157">
        <f>'ROI - FEB.'!F39</f>
        <v>361690</v>
      </c>
      <c r="H39" s="156">
        <f>((-163440)-138000)+42000</f>
        <v>-259440</v>
      </c>
    </row>
    <row r="40" spans="2:8" x14ac:dyDescent="0.2">
      <c r="C40" s="29"/>
      <c r="D40" s="158"/>
      <c r="E40" s="171" t="s">
        <v>199</v>
      </c>
      <c r="F40" s="156">
        <f>SUM(G40:H40)</f>
        <v>62200</v>
      </c>
      <c r="G40" s="157">
        <f>'ROI - FEB.'!F40</f>
        <v>39600</v>
      </c>
      <c r="H40" s="156">
        <f>(300)+22300</f>
        <v>22600</v>
      </c>
    </row>
    <row r="41" spans="2:8" x14ac:dyDescent="0.2">
      <c r="C41" s="29"/>
      <c r="D41" s="158"/>
      <c r="E41" s="171" t="s">
        <v>213</v>
      </c>
      <c r="F41" s="156">
        <f>SUM(G41:H41)</f>
        <v>505440</v>
      </c>
      <c r="G41" s="157"/>
      <c r="H41" s="156">
        <f>((((6000)+6000)+163440)+138000)+192000</f>
        <v>505440</v>
      </c>
    </row>
    <row r="42" spans="2:8" x14ac:dyDescent="0.2">
      <c r="C42" s="29"/>
      <c r="D42" s="158"/>
      <c r="E42" s="171" t="s">
        <v>220</v>
      </c>
      <c r="F42" s="156">
        <f>SUM(G42:H42)</f>
        <v>18000</v>
      </c>
      <c r="G42" s="157"/>
      <c r="H42" s="156">
        <f>18000</f>
        <v>18000</v>
      </c>
    </row>
    <row r="43" spans="2:8" x14ac:dyDescent="0.2">
      <c r="C43" s="29"/>
      <c r="D43" s="158"/>
      <c r="E43" s="171" t="s">
        <v>224</v>
      </c>
      <c r="F43" s="156">
        <f>SUM(G43:H43)</f>
        <v>54000</v>
      </c>
      <c r="G43" s="157"/>
      <c r="H43" s="156">
        <f>(24000)+30000</f>
        <v>54000</v>
      </c>
    </row>
    <row r="44" spans="2:8" x14ac:dyDescent="0.2">
      <c r="C44" s="29"/>
      <c r="D44" s="159" t="s">
        <v>10</v>
      </c>
      <c r="E44" s="23"/>
      <c r="F44" s="154">
        <f>SUM(F45:F49)</f>
        <v>5126</v>
      </c>
      <c r="G44" s="154">
        <f>SUM(G45:G49)</f>
        <v>2126</v>
      </c>
      <c r="H44" s="154">
        <f>SUM(H45:H49)</f>
        <v>3000</v>
      </c>
    </row>
    <row r="45" spans="2:8" hidden="1" x14ac:dyDescent="0.2">
      <c r="C45" s="29"/>
      <c r="D45" s="155"/>
      <c r="E45" s="23" t="s">
        <v>116</v>
      </c>
      <c r="F45" s="156">
        <f t="shared" si="0"/>
        <v>0</v>
      </c>
      <c r="G45" s="157">
        <f>'ROI - JAN.'!F43</f>
        <v>0</v>
      </c>
      <c r="H45" s="154"/>
    </row>
    <row r="46" spans="2:8" s="161" customFormat="1" x14ac:dyDescent="0.2">
      <c r="B46" s="160"/>
      <c r="C46" s="29"/>
      <c r="D46" s="155"/>
      <c r="E46" s="23" t="s">
        <v>46</v>
      </c>
      <c r="F46" s="156">
        <f>SUM(G46:H46)</f>
        <v>126</v>
      </c>
      <c r="G46" s="157">
        <f>'ROI - FEB.'!F43</f>
        <v>126</v>
      </c>
      <c r="H46" s="156"/>
    </row>
    <row r="47" spans="2:8" x14ac:dyDescent="0.2">
      <c r="C47" s="29"/>
      <c r="D47" s="33"/>
      <c r="E47" s="23" t="s">
        <v>231</v>
      </c>
      <c r="F47" s="156">
        <f>SUM(G47:H47)</f>
        <v>5000</v>
      </c>
      <c r="G47" s="157">
        <f>'ROI - FEB.'!F44</f>
        <v>2000</v>
      </c>
      <c r="H47" s="156">
        <f>((1000)+500)+1500</f>
        <v>3000</v>
      </c>
    </row>
    <row r="48" spans="2:8" hidden="1" x14ac:dyDescent="0.2">
      <c r="C48" s="29"/>
      <c r="D48" s="33"/>
      <c r="E48" s="23" t="s">
        <v>48</v>
      </c>
      <c r="F48" s="156">
        <f t="shared" si="0"/>
        <v>0</v>
      </c>
      <c r="G48" s="157">
        <f>'ROI - JAN.'!F46</f>
        <v>0</v>
      </c>
      <c r="H48" s="156"/>
    </row>
    <row r="49" spans="3:8" hidden="1" x14ac:dyDescent="0.2">
      <c r="C49" s="29"/>
      <c r="D49" s="158"/>
      <c r="E49" s="23" t="s">
        <v>49</v>
      </c>
      <c r="F49" s="156">
        <f t="shared" si="0"/>
        <v>0</v>
      </c>
      <c r="G49" s="157">
        <f>'ROI - JAN.'!F47</f>
        <v>0</v>
      </c>
      <c r="H49" s="156"/>
    </row>
    <row r="50" spans="3:8" x14ac:dyDescent="0.2">
      <c r="C50" s="29"/>
      <c r="D50" s="159" t="s">
        <v>50</v>
      </c>
      <c r="E50" s="23"/>
      <c r="F50" s="154">
        <f>SUM(F51:F53)</f>
        <v>55945</v>
      </c>
      <c r="G50" s="154">
        <f>SUM(G51:G53)</f>
        <v>35225</v>
      </c>
      <c r="H50" s="154">
        <f>SUM(H51:H53)</f>
        <v>20720</v>
      </c>
    </row>
    <row r="51" spans="3:8" hidden="1" x14ac:dyDescent="0.2">
      <c r="C51" s="29"/>
      <c r="D51" s="155"/>
      <c r="E51" s="23" t="s">
        <v>51</v>
      </c>
      <c r="F51" s="156">
        <f>H51+G51</f>
        <v>0</v>
      </c>
      <c r="G51" s="157">
        <f>'ROI - JAN.'!F49</f>
        <v>0</v>
      </c>
      <c r="H51" s="156"/>
    </row>
    <row r="52" spans="3:8" x14ac:dyDescent="0.2">
      <c r="C52" s="29"/>
      <c r="D52" s="33"/>
      <c r="E52" s="23" t="s">
        <v>205</v>
      </c>
      <c r="F52" s="156">
        <f>SUM(G52:H52)</f>
        <v>6000</v>
      </c>
      <c r="G52" s="157">
        <f>'ROI - FEB.'!F49</f>
        <v>1800</v>
      </c>
      <c r="H52" s="156">
        <v>4200</v>
      </c>
    </row>
    <row r="53" spans="3:8" x14ac:dyDescent="0.2">
      <c r="C53" s="29"/>
      <c r="D53" s="158"/>
      <c r="E53" s="23" t="s">
        <v>52</v>
      </c>
      <c r="F53" s="156">
        <f>SUM(G53:H53)</f>
        <v>49945</v>
      </c>
      <c r="G53" s="157">
        <f>'ROI - FEB.'!F50</f>
        <v>33425</v>
      </c>
      <c r="H53" s="156">
        <f>(1410)+15110</f>
        <v>16520</v>
      </c>
    </row>
    <row r="54" spans="3:8" x14ac:dyDescent="0.2">
      <c r="C54" s="29"/>
      <c r="D54" s="159" t="s">
        <v>53</v>
      </c>
      <c r="E54" s="23"/>
      <c r="F54" s="154">
        <v>0</v>
      </c>
      <c r="G54" s="23"/>
      <c r="H54" s="154">
        <v>0</v>
      </c>
    </row>
    <row r="55" spans="3:8" x14ac:dyDescent="0.2">
      <c r="C55" s="162"/>
      <c r="D55" s="159" t="s">
        <v>57</v>
      </c>
      <c r="E55" s="23"/>
      <c r="F55" s="154">
        <v>0</v>
      </c>
      <c r="G55" s="23"/>
      <c r="H55" s="154">
        <v>0</v>
      </c>
    </row>
    <row r="56" spans="3:8" x14ac:dyDescent="0.2">
      <c r="C56" s="154" t="s">
        <v>11</v>
      </c>
      <c r="D56" s="159"/>
      <c r="E56" s="23"/>
      <c r="F56" s="156">
        <f>F12+F13+F29+F44+F50+F54+F55</f>
        <v>1271501</v>
      </c>
      <c r="G56" s="156">
        <f>G12+G13+G29+G44+G50+G54+G55</f>
        <v>813981</v>
      </c>
      <c r="H56" s="156">
        <f>H12+H13+H29+H44+H50+H54+H55</f>
        <v>457520</v>
      </c>
    </row>
    <row r="57" spans="3:8" x14ac:dyDescent="0.2">
      <c r="C57" s="154" t="s">
        <v>12</v>
      </c>
      <c r="D57" s="159"/>
      <c r="E57" s="23"/>
      <c r="F57" s="156"/>
      <c r="G57" s="23"/>
      <c r="H57" s="156"/>
    </row>
    <row r="58" spans="3:8" hidden="1" x14ac:dyDescent="0.2">
      <c r="C58" s="153"/>
      <c r="D58" s="159" t="s">
        <v>7</v>
      </c>
      <c r="E58" s="23"/>
      <c r="F58" s="156">
        <v>0</v>
      </c>
      <c r="G58" s="23"/>
      <c r="H58" s="156">
        <v>0</v>
      </c>
    </row>
    <row r="59" spans="3:8" hidden="1" x14ac:dyDescent="0.2">
      <c r="C59" s="29"/>
      <c r="D59" s="159" t="s">
        <v>21</v>
      </c>
      <c r="E59" s="23"/>
      <c r="F59" s="156">
        <v>0</v>
      </c>
      <c r="G59" s="23"/>
      <c r="H59" s="156">
        <v>0</v>
      </c>
    </row>
    <row r="60" spans="3:8" hidden="1" x14ac:dyDescent="0.2">
      <c r="C60" s="29"/>
      <c r="D60" s="159" t="s">
        <v>35</v>
      </c>
      <c r="E60" s="23"/>
      <c r="F60" s="156">
        <v>0</v>
      </c>
      <c r="G60" s="23"/>
      <c r="H60" s="156">
        <v>0</v>
      </c>
    </row>
    <row r="61" spans="3:8" hidden="1" x14ac:dyDescent="0.2">
      <c r="C61" s="29"/>
      <c r="D61" s="159" t="s">
        <v>10</v>
      </c>
      <c r="E61" s="23"/>
      <c r="F61" s="156">
        <v>0</v>
      </c>
      <c r="G61" s="23"/>
      <c r="H61" s="156">
        <v>0</v>
      </c>
    </row>
    <row r="62" spans="3:8" hidden="1" x14ac:dyDescent="0.2">
      <c r="C62" s="29"/>
      <c r="D62" s="159" t="s">
        <v>50</v>
      </c>
      <c r="E62" s="23"/>
      <c r="F62" s="156">
        <v>0</v>
      </c>
      <c r="G62" s="23"/>
      <c r="H62" s="156">
        <v>0</v>
      </c>
    </row>
    <row r="63" spans="3:8" hidden="1" x14ac:dyDescent="0.2">
      <c r="C63" s="29"/>
      <c r="D63" s="159" t="s">
        <v>53</v>
      </c>
      <c r="E63" s="23"/>
      <c r="F63" s="156">
        <v>0</v>
      </c>
      <c r="G63" s="23"/>
      <c r="H63" s="156">
        <v>0</v>
      </c>
    </row>
    <row r="64" spans="3:8" hidden="1" x14ac:dyDescent="0.2">
      <c r="C64" s="162"/>
      <c r="D64" s="159" t="s">
        <v>57</v>
      </c>
      <c r="E64" s="23"/>
      <c r="F64" s="156">
        <v>0</v>
      </c>
      <c r="G64" s="23"/>
      <c r="H64" s="156">
        <v>0</v>
      </c>
    </row>
    <row r="65" spans="2:8" x14ac:dyDescent="0.2">
      <c r="C65" s="154" t="s">
        <v>13</v>
      </c>
      <c r="D65" s="159"/>
      <c r="E65" s="159"/>
      <c r="F65" s="154">
        <f>SUM(F58:F64)</f>
        <v>0</v>
      </c>
      <c r="G65" s="23"/>
      <c r="H65" s="154">
        <f>SUM(H58:H64)</f>
        <v>0</v>
      </c>
    </row>
    <row r="66" spans="2:8" x14ac:dyDescent="0.2">
      <c r="C66" s="163" t="s">
        <v>14</v>
      </c>
      <c r="D66" s="164"/>
      <c r="E66" s="165"/>
      <c r="F66" s="166">
        <f>F56+F65</f>
        <v>1271501</v>
      </c>
      <c r="G66" s="166">
        <f>G56+G65</f>
        <v>813981</v>
      </c>
      <c r="H66" s="166">
        <f>H56+H65</f>
        <v>457520</v>
      </c>
    </row>
    <row r="67" spans="2:8" x14ac:dyDescent="0.2">
      <c r="C67" s="160"/>
      <c r="D67" s="161"/>
      <c r="F67" s="6"/>
    </row>
    <row r="68" spans="2:8" x14ac:dyDescent="0.2">
      <c r="E68" s="161" t="s">
        <v>15</v>
      </c>
      <c r="G68" s="167"/>
    </row>
    <row r="69" spans="2:8" s="161" customFormat="1" x14ac:dyDescent="0.2">
      <c r="B69" s="160"/>
      <c r="C69" s="5"/>
      <c r="D69" s="5"/>
      <c r="E69" s="5"/>
      <c r="F69" s="5"/>
      <c r="G69" s="5"/>
      <c r="H69" s="5"/>
    </row>
    <row r="70" spans="2:8" x14ac:dyDescent="0.2">
      <c r="E70" s="161" t="s">
        <v>7</v>
      </c>
      <c r="G70" s="161"/>
      <c r="H70" s="161"/>
    </row>
    <row r="71" spans="2:8" x14ac:dyDescent="0.2">
      <c r="E71" s="5" t="s">
        <v>54</v>
      </c>
      <c r="F71" s="167">
        <f>F12</f>
        <v>0</v>
      </c>
      <c r="G71" s="167"/>
      <c r="H71" s="167"/>
    </row>
    <row r="72" spans="2:8" x14ac:dyDescent="0.2">
      <c r="E72" s="5" t="s">
        <v>55</v>
      </c>
      <c r="F72" s="167">
        <f>F58</f>
        <v>0</v>
      </c>
    </row>
    <row r="73" spans="2:8" x14ac:dyDescent="0.2">
      <c r="E73" s="168" t="s">
        <v>56</v>
      </c>
      <c r="F73" s="169">
        <f>F71+F72</f>
        <v>0</v>
      </c>
    </row>
    <row r="74" spans="2:8" x14ac:dyDescent="0.2">
      <c r="E74" s="161" t="s">
        <v>21</v>
      </c>
      <c r="H74" s="167"/>
    </row>
    <row r="75" spans="2:8" x14ac:dyDescent="0.2">
      <c r="E75" s="5" t="s">
        <v>54</v>
      </c>
      <c r="F75" s="167">
        <f>F13</f>
        <v>363540</v>
      </c>
    </row>
    <row r="76" spans="2:8" x14ac:dyDescent="0.2">
      <c r="E76" s="5" t="s">
        <v>55</v>
      </c>
      <c r="F76" s="167">
        <f>F59</f>
        <v>0</v>
      </c>
    </row>
    <row r="77" spans="2:8" x14ac:dyDescent="0.2">
      <c r="E77" s="168" t="s">
        <v>56</v>
      </c>
      <c r="F77" s="169">
        <f>F75+F76</f>
        <v>363540</v>
      </c>
    </row>
    <row r="78" spans="2:8" x14ac:dyDescent="0.2">
      <c r="E78" s="161" t="s">
        <v>58</v>
      </c>
    </row>
    <row r="79" spans="2:8" x14ac:dyDescent="0.2">
      <c r="E79" s="5" t="s">
        <v>54</v>
      </c>
      <c r="F79" s="167">
        <f>F29</f>
        <v>846890</v>
      </c>
    </row>
    <row r="80" spans="2:8" x14ac:dyDescent="0.2">
      <c r="E80" s="5" t="s">
        <v>55</v>
      </c>
      <c r="F80" s="167">
        <f>F60</f>
        <v>0</v>
      </c>
    </row>
    <row r="81" spans="5:6" x14ac:dyDescent="0.2">
      <c r="E81" s="168" t="s">
        <v>56</v>
      </c>
      <c r="F81" s="169">
        <f>F79+F80</f>
        <v>846890</v>
      </c>
    </row>
    <row r="82" spans="5:6" x14ac:dyDescent="0.2">
      <c r="E82" s="161" t="s">
        <v>10</v>
      </c>
    </row>
    <row r="83" spans="5:6" x14ac:dyDescent="0.2">
      <c r="E83" s="5" t="s">
        <v>54</v>
      </c>
      <c r="F83" s="167">
        <f>F44</f>
        <v>5126</v>
      </c>
    </row>
    <row r="84" spans="5:6" x14ac:dyDescent="0.2">
      <c r="E84" s="5" t="s">
        <v>55</v>
      </c>
      <c r="F84" s="167">
        <f>F61</f>
        <v>0</v>
      </c>
    </row>
    <row r="85" spans="5:6" x14ac:dyDescent="0.2">
      <c r="E85" s="168" t="s">
        <v>56</v>
      </c>
      <c r="F85" s="169">
        <f>F83+F84</f>
        <v>5126</v>
      </c>
    </row>
    <row r="86" spans="5:6" x14ac:dyDescent="0.2">
      <c r="E86" s="161" t="s">
        <v>50</v>
      </c>
    </row>
    <row r="87" spans="5:6" x14ac:dyDescent="0.2">
      <c r="E87" s="5" t="s">
        <v>54</v>
      </c>
      <c r="F87" s="167">
        <f>F50</f>
        <v>55945</v>
      </c>
    </row>
    <row r="88" spans="5:6" x14ac:dyDescent="0.2">
      <c r="E88" s="5" t="s">
        <v>55</v>
      </c>
      <c r="F88" s="167">
        <f>F62</f>
        <v>0</v>
      </c>
    </row>
    <row r="89" spans="5:6" x14ac:dyDescent="0.2">
      <c r="E89" s="168" t="s">
        <v>56</v>
      </c>
      <c r="F89" s="169">
        <f>F87+F88</f>
        <v>55945</v>
      </c>
    </row>
    <row r="90" spans="5:6" hidden="1" x14ac:dyDescent="0.2">
      <c r="E90" s="161" t="s">
        <v>53</v>
      </c>
    </row>
    <row r="91" spans="5:6" hidden="1" x14ac:dyDescent="0.2">
      <c r="E91" s="5" t="s">
        <v>54</v>
      </c>
      <c r="F91" s="167">
        <f>F54</f>
        <v>0</v>
      </c>
    </row>
    <row r="92" spans="5:6" hidden="1" x14ac:dyDescent="0.2">
      <c r="E92" s="5" t="s">
        <v>55</v>
      </c>
      <c r="F92" s="167">
        <f>F63</f>
        <v>0</v>
      </c>
    </row>
    <row r="93" spans="5:6" hidden="1" x14ac:dyDescent="0.2">
      <c r="E93" s="168" t="s">
        <v>56</v>
      </c>
      <c r="F93" s="169">
        <f>F91+F92</f>
        <v>0</v>
      </c>
    </row>
    <row r="94" spans="5:6" hidden="1" x14ac:dyDescent="0.2">
      <c r="E94" s="161" t="s">
        <v>57</v>
      </c>
    </row>
    <row r="95" spans="5:6" hidden="1" x14ac:dyDescent="0.2">
      <c r="E95" s="5" t="s">
        <v>54</v>
      </c>
      <c r="F95" s="167">
        <f>F55</f>
        <v>0</v>
      </c>
    </row>
    <row r="96" spans="5:6" hidden="1" x14ac:dyDescent="0.2">
      <c r="E96" s="5" t="s">
        <v>55</v>
      </c>
      <c r="F96" s="167">
        <f>F64</f>
        <v>0</v>
      </c>
    </row>
    <row r="97" spans="3:8" x14ac:dyDescent="0.2">
      <c r="E97" s="168" t="s">
        <v>56</v>
      </c>
      <c r="F97" s="169">
        <f>F95+F96</f>
        <v>0</v>
      </c>
    </row>
    <row r="98" spans="3:8" ht="13.5" thickBot="1" x14ac:dyDescent="0.25">
      <c r="E98" s="161" t="s">
        <v>59</v>
      </c>
      <c r="F98" s="170">
        <f>F73+F77+F81+F85+F89+F93+F97</f>
        <v>1271501</v>
      </c>
    </row>
    <row r="99" spans="3:8" ht="13.5" thickTop="1" x14ac:dyDescent="0.2"/>
    <row r="101" spans="3:8" x14ac:dyDescent="0.2">
      <c r="C101" s="195"/>
      <c r="D101" s="195"/>
      <c r="E101" s="195"/>
      <c r="F101" s="195" t="s">
        <v>17</v>
      </c>
      <c r="G101" s="195"/>
      <c r="H101" s="195"/>
    </row>
    <row r="102" spans="3:8" x14ac:dyDescent="0.2">
      <c r="C102" s="161"/>
      <c r="F102" s="195"/>
      <c r="G102" s="195"/>
      <c r="H102" s="195"/>
    </row>
    <row r="103" spans="3:8" x14ac:dyDescent="0.2">
      <c r="C103" s="194"/>
      <c r="D103" s="194"/>
      <c r="E103" s="194"/>
    </row>
    <row r="104" spans="3:8" x14ac:dyDescent="0.2">
      <c r="C104" s="195"/>
      <c r="D104" s="195"/>
      <c r="E104" s="195"/>
      <c r="F104" s="172"/>
      <c r="G104" s="172" t="s">
        <v>197</v>
      </c>
      <c r="H104" s="172"/>
    </row>
    <row r="105" spans="3:8" x14ac:dyDescent="0.2">
      <c r="F105" s="195" t="s">
        <v>198</v>
      </c>
      <c r="G105" s="195"/>
      <c r="H105" s="195"/>
    </row>
  </sheetData>
  <mergeCells count="15">
    <mergeCell ref="C6:H6"/>
    <mergeCell ref="C1:H1"/>
    <mergeCell ref="C2:H2"/>
    <mergeCell ref="C3:H3"/>
    <mergeCell ref="C4:H4"/>
    <mergeCell ref="C5:H5"/>
    <mergeCell ref="C103:E103"/>
    <mergeCell ref="C104:E104"/>
    <mergeCell ref="F105:H105"/>
    <mergeCell ref="C7:H7"/>
    <mergeCell ref="C8:H8"/>
    <mergeCell ref="C10:D10"/>
    <mergeCell ref="C101:E101"/>
    <mergeCell ref="F101:H101"/>
    <mergeCell ref="F102:H102"/>
  </mergeCells>
  <pageMargins left="0.5" right="0.25" top="0.25" bottom="0.25" header="0.3" footer="0.3"/>
  <pageSetup paperSize="155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5"/>
  <sheetViews>
    <sheetView topLeftCell="B1" zoomScale="110" zoomScaleNormal="110" workbookViewId="0">
      <selection activeCell="H16" sqref="H16"/>
    </sheetView>
  </sheetViews>
  <sheetFormatPr defaultRowHeight="12.75" x14ac:dyDescent="0.2"/>
  <cols>
    <col min="1" max="1" width="18.140625" style="5" hidden="1" customWidth="1"/>
    <col min="2" max="2" width="3.28515625" style="6" customWidth="1"/>
    <col min="3" max="3" width="5.140625" style="5" customWidth="1"/>
    <col min="4" max="4" width="5.85546875" style="5" customWidth="1"/>
    <col min="5" max="5" width="47.42578125" style="5" customWidth="1"/>
    <col min="6" max="6" width="16.28515625" style="5" customWidth="1"/>
    <col min="7" max="7" width="14.85546875" style="5" customWidth="1"/>
    <col min="8" max="8" width="16.5703125" style="5" customWidth="1"/>
    <col min="9" max="16384" width="9.140625" style="5"/>
  </cols>
  <sheetData>
    <row r="1" spans="3:10" x14ac:dyDescent="0.2">
      <c r="C1" s="195" t="s">
        <v>0</v>
      </c>
      <c r="D1" s="195"/>
      <c r="E1" s="195"/>
      <c r="F1" s="195"/>
      <c r="G1" s="195"/>
      <c r="H1" s="195"/>
    </row>
    <row r="2" spans="3:10" x14ac:dyDescent="0.2">
      <c r="C2" s="195" t="s">
        <v>1</v>
      </c>
      <c r="D2" s="195"/>
      <c r="E2" s="195"/>
      <c r="F2" s="195"/>
      <c r="G2" s="195"/>
      <c r="H2" s="195"/>
    </row>
    <row r="3" spans="3:10" x14ac:dyDescent="0.2">
      <c r="C3" s="195"/>
      <c r="D3" s="195"/>
      <c r="E3" s="195"/>
      <c r="F3" s="195"/>
      <c r="G3" s="195"/>
      <c r="H3" s="195"/>
    </row>
    <row r="4" spans="3:10" x14ac:dyDescent="0.2">
      <c r="C4" s="194" t="s">
        <v>2</v>
      </c>
      <c r="D4" s="194"/>
      <c r="E4" s="194"/>
      <c r="F4" s="194"/>
      <c r="G4" s="194"/>
      <c r="H4" s="194"/>
    </row>
    <row r="5" spans="3:10" x14ac:dyDescent="0.2">
      <c r="C5" s="195" t="s">
        <v>207</v>
      </c>
      <c r="D5" s="195"/>
      <c r="E5" s="195"/>
      <c r="F5" s="195"/>
      <c r="G5" s="195"/>
      <c r="H5" s="195"/>
    </row>
    <row r="6" spans="3:10" x14ac:dyDescent="0.2">
      <c r="C6" s="195"/>
      <c r="D6" s="195"/>
      <c r="E6" s="195"/>
      <c r="F6" s="195"/>
      <c r="G6" s="195"/>
      <c r="H6" s="195"/>
    </row>
    <row r="7" spans="3:10" x14ac:dyDescent="0.2">
      <c r="C7" s="194" t="s">
        <v>209</v>
      </c>
      <c r="D7" s="194"/>
      <c r="E7" s="194"/>
      <c r="F7" s="194"/>
      <c r="G7" s="194"/>
      <c r="H7" s="194"/>
    </row>
    <row r="8" spans="3:10" x14ac:dyDescent="0.2">
      <c r="C8" s="195" t="s">
        <v>240</v>
      </c>
      <c r="D8" s="195"/>
      <c r="E8" s="195"/>
      <c r="F8" s="195"/>
      <c r="G8" s="195"/>
      <c r="H8" s="195"/>
    </row>
    <row r="10" spans="3:10" ht="38.25" x14ac:dyDescent="0.2">
      <c r="C10" s="196" t="s">
        <v>3</v>
      </c>
      <c r="D10" s="196"/>
      <c r="E10" s="174" t="s">
        <v>4</v>
      </c>
      <c r="F10" s="174" t="s">
        <v>239</v>
      </c>
      <c r="G10" s="174" t="s">
        <v>210</v>
      </c>
      <c r="H10" s="174" t="s">
        <v>238</v>
      </c>
      <c r="I10" s="148"/>
      <c r="J10" s="148"/>
    </row>
    <row r="11" spans="3:10" x14ac:dyDescent="0.2">
      <c r="C11" s="149" t="s">
        <v>6</v>
      </c>
      <c r="D11" s="150"/>
      <c r="E11" s="151"/>
      <c r="F11" s="152"/>
      <c r="G11" s="151"/>
      <c r="H11" s="151"/>
    </row>
    <row r="12" spans="3:10" x14ac:dyDescent="0.2">
      <c r="C12" s="153"/>
      <c r="D12" s="154" t="s">
        <v>7</v>
      </c>
      <c r="E12" s="23"/>
      <c r="F12" s="154">
        <v>0</v>
      </c>
      <c r="G12" s="23"/>
      <c r="H12" s="154">
        <v>0</v>
      </c>
    </row>
    <row r="13" spans="3:10" x14ac:dyDescent="0.2">
      <c r="C13" s="29"/>
      <c r="D13" s="154" t="s">
        <v>21</v>
      </c>
      <c r="E13" s="23"/>
      <c r="F13" s="154">
        <f>SUM(F14:F28)</f>
        <v>596290</v>
      </c>
      <c r="G13" s="154">
        <f>SUM(G14:G28)</f>
        <v>363540</v>
      </c>
      <c r="H13" s="154">
        <f>SUM(H14:H28)</f>
        <v>232750</v>
      </c>
    </row>
    <row r="14" spans="3:10" x14ac:dyDescent="0.2">
      <c r="C14" s="29"/>
      <c r="D14" s="155"/>
      <c r="E14" s="171" t="s">
        <v>8</v>
      </c>
      <c r="F14" s="156">
        <f>SUM(G14:H14)</f>
        <v>27000</v>
      </c>
      <c r="G14" s="157">
        <f>'ROI - MAR'!F14</f>
        <v>27000</v>
      </c>
      <c r="H14" s="156"/>
    </row>
    <row r="15" spans="3:10" hidden="1" x14ac:dyDescent="0.2">
      <c r="C15" s="29"/>
      <c r="D15" s="33"/>
      <c r="E15" s="171" t="s">
        <v>22</v>
      </c>
      <c r="F15" s="156">
        <f t="shared" ref="F15:F49" si="0">SUM(G15:H15)</f>
        <v>0</v>
      </c>
      <c r="G15" s="157">
        <f>'ROI - JAN.'!F15</f>
        <v>0</v>
      </c>
      <c r="H15" s="156"/>
    </row>
    <row r="16" spans="3:10" x14ac:dyDescent="0.2">
      <c r="C16" s="29"/>
      <c r="D16" s="33"/>
      <c r="E16" s="171" t="s">
        <v>23</v>
      </c>
      <c r="F16" s="156">
        <f>SUM(G16:H16)</f>
        <v>274570</v>
      </c>
      <c r="G16" s="157">
        <f>'ROI - MAR'!F16</f>
        <v>193570</v>
      </c>
      <c r="H16" s="156">
        <v>81000</v>
      </c>
    </row>
    <row r="17" spans="3:8" hidden="1" x14ac:dyDescent="0.2">
      <c r="C17" s="29"/>
      <c r="D17" s="33"/>
      <c r="E17" s="171" t="s">
        <v>24</v>
      </c>
      <c r="F17" s="156">
        <f t="shared" si="0"/>
        <v>0</v>
      </c>
      <c r="G17" s="157">
        <f>'ROI - MAR'!F17</f>
        <v>0</v>
      </c>
      <c r="H17" s="156"/>
    </row>
    <row r="18" spans="3:8" hidden="1" x14ac:dyDescent="0.2">
      <c r="C18" s="29"/>
      <c r="D18" s="33"/>
      <c r="E18" s="171" t="s">
        <v>25</v>
      </c>
      <c r="F18" s="156">
        <f t="shared" si="0"/>
        <v>0</v>
      </c>
      <c r="G18" s="157">
        <f>'ROI - MAR'!F18</f>
        <v>0</v>
      </c>
      <c r="H18" s="156"/>
    </row>
    <row r="19" spans="3:8" hidden="1" x14ac:dyDescent="0.2">
      <c r="C19" s="29"/>
      <c r="D19" s="33"/>
      <c r="E19" s="171" t="s">
        <v>26</v>
      </c>
      <c r="F19" s="156">
        <f t="shared" si="0"/>
        <v>0</v>
      </c>
      <c r="G19" s="157">
        <f>'ROI - MAR'!F19</f>
        <v>0</v>
      </c>
      <c r="H19" s="156"/>
    </row>
    <row r="20" spans="3:8" x14ac:dyDescent="0.2">
      <c r="C20" s="29"/>
      <c r="D20" s="33"/>
      <c r="E20" s="171" t="s">
        <v>27</v>
      </c>
      <c r="F20" s="156">
        <f t="shared" si="0"/>
        <v>80000</v>
      </c>
      <c r="G20" s="157">
        <f>'ROI - MAR'!F20</f>
        <v>0</v>
      </c>
      <c r="H20" s="156">
        <v>80000</v>
      </c>
    </row>
    <row r="21" spans="3:8" x14ac:dyDescent="0.2">
      <c r="C21" s="29"/>
      <c r="D21" s="33"/>
      <c r="E21" s="171" t="s">
        <v>225</v>
      </c>
      <c r="F21" s="156">
        <f>SUM(G21:H21)</f>
        <v>93000</v>
      </c>
      <c r="G21" s="157">
        <f>'ROI - MAR'!F21</f>
        <v>58000</v>
      </c>
      <c r="H21" s="156">
        <v>35000</v>
      </c>
    </row>
    <row r="22" spans="3:8" hidden="1" x14ac:dyDescent="0.2">
      <c r="C22" s="29"/>
      <c r="D22" s="33"/>
      <c r="E22" s="171" t="s">
        <v>30</v>
      </c>
      <c r="F22" s="156">
        <f t="shared" si="0"/>
        <v>0</v>
      </c>
      <c r="G22" s="157">
        <f>'ROI - MAR'!F22</f>
        <v>0</v>
      </c>
      <c r="H22" s="156"/>
    </row>
    <row r="23" spans="3:8" x14ac:dyDescent="0.2">
      <c r="C23" s="29"/>
      <c r="D23" s="33"/>
      <c r="E23" s="171" t="s">
        <v>31</v>
      </c>
      <c r="F23" s="156">
        <f>SUM(G23:H23)</f>
        <v>82800</v>
      </c>
      <c r="G23" s="157">
        <f>'ROI - MAR'!F23</f>
        <v>49200</v>
      </c>
      <c r="H23" s="156">
        <v>33600</v>
      </c>
    </row>
    <row r="24" spans="3:8" hidden="1" x14ac:dyDescent="0.2">
      <c r="C24" s="29"/>
      <c r="D24" s="33"/>
      <c r="E24" s="171" t="s">
        <v>32</v>
      </c>
      <c r="F24" s="156">
        <f t="shared" si="0"/>
        <v>0</v>
      </c>
      <c r="G24" s="157">
        <f>'ROI - MAR'!F24</f>
        <v>0</v>
      </c>
      <c r="H24" s="156"/>
    </row>
    <row r="25" spans="3:8" hidden="1" x14ac:dyDescent="0.2">
      <c r="C25" s="29"/>
      <c r="D25" s="33"/>
      <c r="E25" s="171" t="s">
        <v>33</v>
      </c>
      <c r="F25" s="156">
        <f t="shared" si="0"/>
        <v>0</v>
      </c>
      <c r="G25" s="157">
        <f>'ROI - MAR'!F25</f>
        <v>0</v>
      </c>
      <c r="H25" s="156"/>
    </row>
    <row r="26" spans="3:8" x14ac:dyDescent="0.2">
      <c r="C26" s="29"/>
      <c r="D26" s="33"/>
      <c r="E26" s="171" t="s">
        <v>194</v>
      </c>
      <c r="F26" s="156">
        <f>SUM(G26:H26)</f>
        <v>17620</v>
      </c>
      <c r="G26" s="157">
        <f>'ROI - MAR'!F26</f>
        <v>15070</v>
      </c>
      <c r="H26" s="156">
        <v>2550</v>
      </c>
    </row>
    <row r="27" spans="3:8" hidden="1" x14ac:dyDescent="0.2">
      <c r="C27" s="29"/>
      <c r="D27" s="158"/>
      <c r="E27" s="171" t="s">
        <v>34</v>
      </c>
      <c r="F27" s="156">
        <f t="shared" si="0"/>
        <v>0</v>
      </c>
      <c r="G27" s="157">
        <f>'ROI - MAR'!F27</f>
        <v>0</v>
      </c>
      <c r="H27" s="156"/>
    </row>
    <row r="28" spans="3:8" x14ac:dyDescent="0.2">
      <c r="C28" s="29"/>
      <c r="D28" s="158"/>
      <c r="E28" s="171" t="s">
        <v>214</v>
      </c>
      <c r="F28" s="156">
        <f>SUM(G28:H28)</f>
        <v>21300</v>
      </c>
      <c r="G28" s="157">
        <f>'ROI - MAR'!F28</f>
        <v>20700</v>
      </c>
      <c r="H28" s="156">
        <v>600</v>
      </c>
    </row>
    <row r="29" spans="3:8" x14ac:dyDescent="0.2">
      <c r="C29" s="29"/>
      <c r="D29" s="159" t="s">
        <v>35</v>
      </c>
      <c r="E29" s="171"/>
      <c r="F29" s="154">
        <f>SUM(F30:F43)</f>
        <v>1147190</v>
      </c>
      <c r="G29" s="154">
        <f>SUM(G30:G43)</f>
        <v>846890</v>
      </c>
      <c r="H29" s="154">
        <f>SUM(H30:H43)</f>
        <v>300300</v>
      </c>
    </row>
    <row r="30" spans="3:8" hidden="1" x14ac:dyDescent="0.2">
      <c r="C30" s="29"/>
      <c r="D30" s="155"/>
      <c r="E30" s="171" t="s">
        <v>36</v>
      </c>
      <c r="F30" s="156">
        <f t="shared" si="0"/>
        <v>0</v>
      </c>
      <c r="G30" s="157">
        <f>'ROI - JAN.'!F30</f>
        <v>0</v>
      </c>
      <c r="H30" s="156"/>
    </row>
    <row r="31" spans="3:8" hidden="1" x14ac:dyDescent="0.2">
      <c r="C31" s="29"/>
      <c r="D31" s="33"/>
      <c r="E31" s="171" t="s">
        <v>37</v>
      </c>
      <c r="F31" s="156">
        <f t="shared" si="0"/>
        <v>0</v>
      </c>
      <c r="G31" s="157">
        <f>'ROI - JAN.'!F31</f>
        <v>0</v>
      </c>
      <c r="H31" s="156"/>
    </row>
    <row r="32" spans="3:8" hidden="1" x14ac:dyDescent="0.2">
      <c r="C32" s="29"/>
      <c r="D32" s="33"/>
      <c r="E32" s="171" t="s">
        <v>38</v>
      </c>
      <c r="F32" s="156">
        <f t="shared" si="0"/>
        <v>0</v>
      </c>
      <c r="G32" s="157">
        <f>'ROI - JAN.'!F32</f>
        <v>0</v>
      </c>
      <c r="H32" s="156"/>
    </row>
    <row r="33" spans="2:8" hidden="1" x14ac:dyDescent="0.2">
      <c r="C33" s="29"/>
      <c r="D33" s="33"/>
      <c r="E33" s="171" t="s">
        <v>39</v>
      </c>
      <c r="F33" s="156">
        <f t="shared" si="0"/>
        <v>0</v>
      </c>
      <c r="G33" s="157">
        <f>'ROI - MAR'!F33</f>
        <v>0</v>
      </c>
      <c r="H33" s="156"/>
    </row>
    <row r="34" spans="2:8" x14ac:dyDescent="0.2">
      <c r="C34" s="29"/>
      <c r="D34" s="33"/>
      <c r="E34" s="171" t="s">
        <v>40</v>
      </c>
      <c r="F34" s="156">
        <f>SUM(G34:H34)</f>
        <v>28000</v>
      </c>
      <c r="G34" s="157">
        <f>'ROI - MAR'!F34</f>
        <v>25000</v>
      </c>
      <c r="H34" s="156">
        <v>3000</v>
      </c>
    </row>
    <row r="35" spans="2:8" x14ac:dyDescent="0.2">
      <c r="C35" s="29"/>
      <c r="D35" s="33"/>
      <c r="E35" s="171" t="s">
        <v>41</v>
      </c>
      <c r="F35" s="156">
        <f>SUM(G35:H35)</f>
        <v>86000</v>
      </c>
      <c r="G35" s="157">
        <f>'ROI - MAR'!F35</f>
        <v>80000</v>
      </c>
      <c r="H35" s="156">
        <v>6000</v>
      </c>
    </row>
    <row r="36" spans="2:8" s="161" customFormat="1" x14ac:dyDescent="0.2">
      <c r="B36" s="160"/>
      <c r="C36" s="29"/>
      <c r="D36" s="33"/>
      <c r="E36" s="171" t="s">
        <v>42</v>
      </c>
      <c r="F36" s="156">
        <f t="shared" si="0"/>
        <v>0</v>
      </c>
      <c r="G36" s="157">
        <f>'ROI - JAN.'!F36</f>
        <v>0</v>
      </c>
      <c r="H36" s="154"/>
    </row>
    <row r="37" spans="2:8" x14ac:dyDescent="0.2">
      <c r="C37" s="29"/>
      <c r="D37" s="33"/>
      <c r="E37" s="171" t="s">
        <v>43</v>
      </c>
      <c r="F37" s="156">
        <f t="shared" si="0"/>
        <v>0</v>
      </c>
      <c r="G37" s="157">
        <f>'ROI - JAN.'!F37</f>
        <v>0</v>
      </c>
      <c r="H37" s="156"/>
    </row>
    <row r="38" spans="2:8" x14ac:dyDescent="0.2">
      <c r="C38" s="29"/>
      <c r="D38" s="33"/>
      <c r="E38" s="171" t="s">
        <v>44</v>
      </c>
      <c r="F38" s="156">
        <f t="shared" si="0"/>
        <v>0</v>
      </c>
      <c r="G38" s="157">
        <f>'ROI - JAN.'!F38</f>
        <v>0</v>
      </c>
      <c r="H38" s="156"/>
    </row>
    <row r="39" spans="2:8" ht="12" customHeight="1" x14ac:dyDescent="0.2">
      <c r="C39" s="29"/>
      <c r="D39" s="33"/>
      <c r="E39" s="171" t="s">
        <v>45</v>
      </c>
      <c r="F39" s="156">
        <f>SUM(G39:H39)</f>
        <v>144250</v>
      </c>
      <c r="G39" s="157">
        <f>'ROI - MAR'!F39</f>
        <v>102250</v>
      </c>
      <c r="H39" s="156">
        <v>42000</v>
      </c>
    </row>
    <row r="40" spans="2:8" x14ac:dyDescent="0.2">
      <c r="C40" s="29"/>
      <c r="D40" s="158"/>
      <c r="E40" s="171" t="s">
        <v>199</v>
      </c>
      <c r="F40" s="156">
        <f>SUM(G40:H40)</f>
        <v>83500</v>
      </c>
      <c r="G40" s="157">
        <f>'ROI - MAR'!F40</f>
        <v>62200</v>
      </c>
      <c r="H40" s="156">
        <v>21300</v>
      </c>
    </row>
    <row r="41" spans="2:8" x14ac:dyDescent="0.2">
      <c r="C41" s="29"/>
      <c r="D41" s="158"/>
      <c r="E41" s="171" t="s">
        <v>213</v>
      </c>
      <c r="F41" s="156">
        <f>SUM(G41:H41)</f>
        <v>727440</v>
      </c>
      <c r="G41" s="157">
        <f>'ROI - MAR'!F41</f>
        <v>505440</v>
      </c>
      <c r="H41" s="156">
        <v>222000</v>
      </c>
    </row>
    <row r="42" spans="2:8" x14ac:dyDescent="0.2">
      <c r="C42" s="29"/>
      <c r="D42" s="158"/>
      <c r="E42" s="171" t="s">
        <v>220</v>
      </c>
      <c r="F42" s="156">
        <f>SUM(G42:H42)</f>
        <v>18000</v>
      </c>
      <c r="G42" s="157">
        <f>'ROI - MAR'!F42</f>
        <v>18000</v>
      </c>
      <c r="H42" s="156"/>
    </row>
    <row r="43" spans="2:8" x14ac:dyDescent="0.2">
      <c r="C43" s="29"/>
      <c r="D43" s="158"/>
      <c r="E43" s="171" t="s">
        <v>224</v>
      </c>
      <c r="F43" s="156">
        <f>SUM(G43:H43)</f>
        <v>60000</v>
      </c>
      <c r="G43" s="157">
        <f>'ROI - MAR'!F43</f>
        <v>54000</v>
      </c>
      <c r="H43" s="156">
        <v>6000</v>
      </c>
    </row>
    <row r="44" spans="2:8" x14ac:dyDescent="0.2">
      <c r="C44" s="29"/>
      <c r="D44" s="159" t="s">
        <v>10</v>
      </c>
      <c r="E44" s="23"/>
      <c r="F44" s="154">
        <f>SUM(F45:F49)</f>
        <v>6691</v>
      </c>
      <c r="G44" s="154">
        <f>SUM(G45:G49)</f>
        <v>5126</v>
      </c>
      <c r="H44" s="154">
        <f>SUM(H45:H49)</f>
        <v>1565</v>
      </c>
    </row>
    <row r="45" spans="2:8" hidden="1" x14ac:dyDescent="0.2">
      <c r="C45" s="29"/>
      <c r="D45" s="155"/>
      <c r="E45" s="23" t="s">
        <v>116</v>
      </c>
      <c r="F45" s="156">
        <f t="shared" si="0"/>
        <v>0</v>
      </c>
      <c r="G45" s="157">
        <f>'ROI - JAN.'!F43</f>
        <v>0</v>
      </c>
      <c r="H45" s="154"/>
    </row>
    <row r="46" spans="2:8" s="161" customFormat="1" x14ac:dyDescent="0.2">
      <c r="B46" s="160"/>
      <c r="C46" s="29"/>
      <c r="D46" s="155"/>
      <c r="E46" s="23" t="s">
        <v>46</v>
      </c>
      <c r="F46" s="156">
        <f>SUM(G46:H46)</f>
        <v>191</v>
      </c>
      <c r="G46" s="157">
        <f>'ROI - MAR'!F46</f>
        <v>126</v>
      </c>
      <c r="H46" s="156">
        <v>65</v>
      </c>
    </row>
    <row r="47" spans="2:8" x14ac:dyDescent="0.2">
      <c r="C47" s="29"/>
      <c r="D47" s="33"/>
      <c r="E47" s="23" t="s">
        <v>231</v>
      </c>
      <c r="F47" s="156">
        <f>SUM(G47:H47)</f>
        <v>6500</v>
      </c>
      <c r="G47" s="157">
        <f>'ROI - MAR'!F47</f>
        <v>5000</v>
      </c>
      <c r="H47" s="156">
        <v>1500</v>
      </c>
    </row>
    <row r="48" spans="2:8" hidden="1" x14ac:dyDescent="0.2">
      <c r="C48" s="29"/>
      <c r="D48" s="33"/>
      <c r="E48" s="23" t="s">
        <v>48</v>
      </c>
      <c r="F48" s="156">
        <f t="shared" si="0"/>
        <v>0</v>
      </c>
      <c r="G48" s="157">
        <f>'ROI - JAN.'!F46</f>
        <v>0</v>
      </c>
      <c r="H48" s="156"/>
    </row>
    <row r="49" spans="3:8" hidden="1" x14ac:dyDescent="0.2">
      <c r="C49" s="29"/>
      <c r="D49" s="158"/>
      <c r="E49" s="23" t="s">
        <v>49</v>
      </c>
      <c r="F49" s="156">
        <f t="shared" si="0"/>
        <v>0</v>
      </c>
      <c r="G49" s="157">
        <f>'ROI - JAN.'!F47</f>
        <v>0</v>
      </c>
      <c r="H49" s="156"/>
    </row>
    <row r="50" spans="3:8" x14ac:dyDescent="0.2">
      <c r="C50" s="29"/>
      <c r="D50" s="159" t="s">
        <v>50</v>
      </c>
      <c r="E50" s="23"/>
      <c r="F50" s="154">
        <f>SUM(F51:F53)</f>
        <v>72805</v>
      </c>
      <c r="G50" s="154">
        <f>SUM(G51:G53)</f>
        <v>55945</v>
      </c>
      <c r="H50" s="154">
        <f>SUM(H51:H53)</f>
        <v>16860</v>
      </c>
    </row>
    <row r="51" spans="3:8" hidden="1" x14ac:dyDescent="0.2">
      <c r="C51" s="29"/>
      <c r="D51" s="155"/>
      <c r="E51" s="23" t="s">
        <v>51</v>
      </c>
      <c r="F51" s="156">
        <f>H51+G51</f>
        <v>0</v>
      </c>
      <c r="G51" s="157">
        <f>'ROI - JAN.'!F49</f>
        <v>0</v>
      </c>
      <c r="H51" s="156"/>
    </row>
    <row r="52" spans="3:8" x14ac:dyDescent="0.2">
      <c r="C52" s="29"/>
      <c r="D52" s="33"/>
      <c r="E52" s="23" t="s">
        <v>205</v>
      </c>
      <c r="F52" s="156">
        <f>SUM(G52:H52)</f>
        <v>8100</v>
      </c>
      <c r="G52" s="157">
        <f>'ROI - MAR'!F52</f>
        <v>6000</v>
      </c>
      <c r="H52" s="156">
        <v>2100</v>
      </c>
    </row>
    <row r="53" spans="3:8" x14ac:dyDescent="0.2">
      <c r="C53" s="29"/>
      <c r="D53" s="158"/>
      <c r="E53" s="23" t="s">
        <v>52</v>
      </c>
      <c r="F53" s="156">
        <f>SUM(G53:H53)</f>
        <v>64705</v>
      </c>
      <c r="G53" s="157">
        <f>'ROI - MAR'!F53</f>
        <v>49945</v>
      </c>
      <c r="H53" s="156">
        <v>14760</v>
      </c>
    </row>
    <row r="54" spans="3:8" x14ac:dyDescent="0.2">
      <c r="C54" s="29"/>
      <c r="D54" s="159" t="s">
        <v>53</v>
      </c>
      <c r="E54" s="23"/>
      <c r="F54" s="154">
        <v>0</v>
      </c>
      <c r="G54" s="23"/>
      <c r="H54" s="154">
        <v>0</v>
      </c>
    </row>
    <row r="55" spans="3:8" x14ac:dyDescent="0.2">
      <c r="C55" s="162"/>
      <c r="D55" s="159" t="s">
        <v>57</v>
      </c>
      <c r="E55" s="23"/>
      <c r="F55" s="154">
        <v>0</v>
      </c>
      <c r="G55" s="23"/>
      <c r="H55" s="154">
        <v>0</v>
      </c>
    </row>
    <row r="56" spans="3:8" x14ac:dyDescent="0.2">
      <c r="C56" s="154" t="s">
        <v>11</v>
      </c>
      <c r="D56" s="159"/>
      <c r="E56" s="23"/>
      <c r="F56" s="156">
        <f>F12+F13+F29+F44+F50+F54+F55</f>
        <v>1822976</v>
      </c>
      <c r="G56" s="156">
        <f>G12+G13+G29+G44+G50+G54+G55</f>
        <v>1271501</v>
      </c>
      <c r="H56" s="156">
        <f>H12+H13+H29+H44+H50+H54+H55</f>
        <v>551475</v>
      </c>
    </row>
    <row r="57" spans="3:8" x14ac:dyDescent="0.2">
      <c r="C57" s="154" t="s">
        <v>12</v>
      </c>
      <c r="D57" s="159"/>
      <c r="E57" s="23"/>
      <c r="F57" s="156"/>
      <c r="G57" s="23"/>
      <c r="H57" s="156"/>
    </row>
    <row r="58" spans="3:8" hidden="1" x14ac:dyDescent="0.2">
      <c r="C58" s="153"/>
      <c r="D58" s="159" t="s">
        <v>7</v>
      </c>
      <c r="E58" s="23"/>
      <c r="F58" s="156">
        <v>0</v>
      </c>
      <c r="G58" s="23"/>
      <c r="H58" s="156">
        <v>0</v>
      </c>
    </row>
    <row r="59" spans="3:8" hidden="1" x14ac:dyDescent="0.2">
      <c r="C59" s="29"/>
      <c r="D59" s="159" t="s">
        <v>21</v>
      </c>
      <c r="E59" s="23"/>
      <c r="F59" s="156">
        <v>0</v>
      </c>
      <c r="G59" s="23"/>
      <c r="H59" s="156">
        <v>0</v>
      </c>
    </row>
    <row r="60" spans="3:8" hidden="1" x14ac:dyDescent="0.2">
      <c r="C60" s="29"/>
      <c r="D60" s="159" t="s">
        <v>35</v>
      </c>
      <c r="E60" s="23"/>
      <c r="F60" s="156">
        <v>0</v>
      </c>
      <c r="G60" s="23"/>
      <c r="H60" s="156">
        <v>0</v>
      </c>
    </row>
    <row r="61" spans="3:8" hidden="1" x14ac:dyDescent="0.2">
      <c r="C61" s="29"/>
      <c r="D61" s="159" t="s">
        <v>10</v>
      </c>
      <c r="E61" s="23"/>
      <c r="F61" s="156">
        <v>0</v>
      </c>
      <c r="G61" s="23"/>
      <c r="H61" s="156">
        <v>0</v>
      </c>
    </row>
    <row r="62" spans="3:8" hidden="1" x14ac:dyDescent="0.2">
      <c r="C62" s="29"/>
      <c r="D62" s="159" t="s">
        <v>50</v>
      </c>
      <c r="E62" s="23"/>
      <c r="F62" s="156">
        <v>0</v>
      </c>
      <c r="G62" s="23"/>
      <c r="H62" s="156">
        <v>0</v>
      </c>
    </row>
    <row r="63" spans="3:8" hidden="1" x14ac:dyDescent="0.2">
      <c r="C63" s="29"/>
      <c r="D63" s="159" t="s">
        <v>53</v>
      </c>
      <c r="E63" s="23"/>
      <c r="F63" s="156">
        <v>0</v>
      </c>
      <c r="G63" s="23"/>
      <c r="H63" s="156">
        <v>0</v>
      </c>
    </row>
    <row r="64" spans="3:8" hidden="1" x14ac:dyDescent="0.2">
      <c r="C64" s="162"/>
      <c r="D64" s="159" t="s">
        <v>57</v>
      </c>
      <c r="E64" s="23"/>
      <c r="F64" s="156">
        <v>0</v>
      </c>
      <c r="G64" s="23"/>
      <c r="H64" s="156">
        <v>0</v>
      </c>
    </row>
    <row r="65" spans="2:8" x14ac:dyDescent="0.2">
      <c r="C65" s="154" t="s">
        <v>13</v>
      </c>
      <c r="D65" s="159"/>
      <c r="E65" s="159"/>
      <c r="F65" s="154">
        <f>SUM(F58:F64)</f>
        <v>0</v>
      </c>
      <c r="G65" s="23"/>
      <c r="H65" s="154">
        <f>SUM(H58:H64)</f>
        <v>0</v>
      </c>
    </row>
    <row r="66" spans="2:8" x14ac:dyDescent="0.2">
      <c r="C66" s="163" t="s">
        <v>14</v>
      </c>
      <c r="D66" s="164"/>
      <c r="E66" s="165"/>
      <c r="F66" s="166">
        <f>F56+F65</f>
        <v>1822976</v>
      </c>
      <c r="G66" s="166">
        <f>G56+G65</f>
        <v>1271501</v>
      </c>
      <c r="H66" s="166">
        <f>H56+H65</f>
        <v>551475</v>
      </c>
    </row>
    <row r="67" spans="2:8" x14ac:dyDescent="0.2">
      <c r="C67" s="160"/>
      <c r="D67" s="161"/>
      <c r="F67" s="6"/>
    </row>
    <row r="68" spans="2:8" x14ac:dyDescent="0.2">
      <c r="E68" s="161" t="s">
        <v>15</v>
      </c>
      <c r="G68" s="167"/>
    </row>
    <row r="69" spans="2:8" s="161" customFormat="1" x14ac:dyDescent="0.2">
      <c r="B69" s="160"/>
      <c r="C69" s="5"/>
      <c r="D69" s="5"/>
      <c r="E69" s="5"/>
      <c r="F69" s="5"/>
      <c r="G69" s="167"/>
      <c r="H69" s="5"/>
    </row>
    <row r="70" spans="2:8" x14ac:dyDescent="0.2">
      <c r="E70" s="161" t="s">
        <v>7</v>
      </c>
      <c r="G70" s="161"/>
      <c r="H70" s="161"/>
    </row>
    <row r="71" spans="2:8" x14ac:dyDescent="0.2">
      <c r="E71" s="5" t="s">
        <v>54</v>
      </c>
      <c r="F71" s="167">
        <f>F12</f>
        <v>0</v>
      </c>
      <c r="G71" s="167"/>
      <c r="H71" s="167"/>
    </row>
    <row r="72" spans="2:8" x14ac:dyDescent="0.2">
      <c r="E72" s="5" t="s">
        <v>55</v>
      </c>
      <c r="F72" s="167">
        <f>F58</f>
        <v>0</v>
      </c>
    </row>
    <row r="73" spans="2:8" x14ac:dyDescent="0.2">
      <c r="E73" s="168" t="s">
        <v>56</v>
      </c>
      <c r="F73" s="169">
        <f>F71+F72</f>
        <v>0</v>
      </c>
    </row>
    <row r="74" spans="2:8" x14ac:dyDescent="0.2">
      <c r="E74" s="161" t="s">
        <v>21</v>
      </c>
      <c r="H74" s="167"/>
    </row>
    <row r="75" spans="2:8" x14ac:dyDescent="0.2">
      <c r="E75" s="5" t="s">
        <v>54</v>
      </c>
      <c r="F75" s="167">
        <f>F13</f>
        <v>596290</v>
      </c>
    </row>
    <row r="76" spans="2:8" x14ac:dyDescent="0.2">
      <c r="E76" s="5" t="s">
        <v>55</v>
      </c>
      <c r="F76" s="167">
        <f>F59</f>
        <v>0</v>
      </c>
    </row>
    <row r="77" spans="2:8" x14ac:dyDescent="0.2">
      <c r="E77" s="168" t="s">
        <v>56</v>
      </c>
      <c r="F77" s="169">
        <f>F75+F76</f>
        <v>596290</v>
      </c>
    </row>
    <row r="78" spans="2:8" x14ac:dyDescent="0.2">
      <c r="E78" s="161" t="s">
        <v>58</v>
      </c>
    </row>
    <row r="79" spans="2:8" x14ac:dyDescent="0.2">
      <c r="E79" s="5" t="s">
        <v>54</v>
      </c>
      <c r="F79" s="167">
        <f>F29</f>
        <v>1147190</v>
      </c>
    </row>
    <row r="80" spans="2:8" x14ac:dyDescent="0.2">
      <c r="E80" s="5" t="s">
        <v>55</v>
      </c>
      <c r="F80" s="167">
        <f>F60</f>
        <v>0</v>
      </c>
    </row>
    <row r="81" spans="5:6" x14ac:dyDescent="0.2">
      <c r="E81" s="168" t="s">
        <v>56</v>
      </c>
      <c r="F81" s="169">
        <f>F79+F80</f>
        <v>1147190</v>
      </c>
    </row>
    <row r="82" spans="5:6" x14ac:dyDescent="0.2">
      <c r="E82" s="161" t="s">
        <v>10</v>
      </c>
    </row>
    <row r="83" spans="5:6" x14ac:dyDescent="0.2">
      <c r="E83" s="5" t="s">
        <v>54</v>
      </c>
      <c r="F83" s="167">
        <f>F44</f>
        <v>6691</v>
      </c>
    </row>
    <row r="84" spans="5:6" x14ac:dyDescent="0.2">
      <c r="E84" s="5" t="s">
        <v>55</v>
      </c>
      <c r="F84" s="167">
        <f>F61</f>
        <v>0</v>
      </c>
    </row>
    <row r="85" spans="5:6" x14ac:dyDescent="0.2">
      <c r="E85" s="168" t="s">
        <v>56</v>
      </c>
      <c r="F85" s="169">
        <f>F83+F84</f>
        <v>6691</v>
      </c>
    </row>
    <row r="86" spans="5:6" x14ac:dyDescent="0.2">
      <c r="E86" s="161" t="s">
        <v>50</v>
      </c>
    </row>
    <row r="87" spans="5:6" x14ac:dyDescent="0.2">
      <c r="E87" s="5" t="s">
        <v>54</v>
      </c>
      <c r="F87" s="167">
        <f>F50</f>
        <v>72805</v>
      </c>
    </row>
    <row r="88" spans="5:6" x14ac:dyDescent="0.2">
      <c r="E88" s="5" t="s">
        <v>55</v>
      </c>
      <c r="F88" s="167">
        <f>F62</f>
        <v>0</v>
      </c>
    </row>
    <row r="89" spans="5:6" x14ac:dyDescent="0.2">
      <c r="E89" s="168" t="s">
        <v>56</v>
      </c>
      <c r="F89" s="169">
        <f>F87+F88</f>
        <v>72805</v>
      </c>
    </row>
    <row r="90" spans="5:6" hidden="1" x14ac:dyDescent="0.2">
      <c r="E90" s="161" t="s">
        <v>53</v>
      </c>
    </row>
    <row r="91" spans="5:6" hidden="1" x14ac:dyDescent="0.2">
      <c r="E91" s="5" t="s">
        <v>54</v>
      </c>
      <c r="F91" s="167">
        <f>F54</f>
        <v>0</v>
      </c>
    </row>
    <row r="92" spans="5:6" hidden="1" x14ac:dyDescent="0.2">
      <c r="E92" s="5" t="s">
        <v>55</v>
      </c>
      <c r="F92" s="167">
        <f>F63</f>
        <v>0</v>
      </c>
    </row>
    <row r="93" spans="5:6" hidden="1" x14ac:dyDescent="0.2">
      <c r="E93" s="168" t="s">
        <v>56</v>
      </c>
      <c r="F93" s="169">
        <f>F91+F92</f>
        <v>0</v>
      </c>
    </row>
    <row r="94" spans="5:6" hidden="1" x14ac:dyDescent="0.2">
      <c r="E94" s="161" t="s">
        <v>57</v>
      </c>
    </row>
    <row r="95" spans="5:6" hidden="1" x14ac:dyDescent="0.2">
      <c r="E95" s="5" t="s">
        <v>54</v>
      </c>
      <c r="F95" s="167">
        <f>F55</f>
        <v>0</v>
      </c>
    </row>
    <row r="96" spans="5:6" hidden="1" x14ac:dyDescent="0.2">
      <c r="E96" s="5" t="s">
        <v>55</v>
      </c>
      <c r="F96" s="167">
        <f>F64</f>
        <v>0</v>
      </c>
    </row>
    <row r="97" spans="3:8" x14ac:dyDescent="0.2">
      <c r="E97" s="168" t="s">
        <v>56</v>
      </c>
      <c r="F97" s="169">
        <f>F95+F96</f>
        <v>0</v>
      </c>
    </row>
    <row r="98" spans="3:8" ht="13.5" thickBot="1" x14ac:dyDescent="0.25">
      <c r="E98" s="161" t="s">
        <v>59</v>
      </c>
      <c r="F98" s="170">
        <f>F73+F77+F81+F85+F89+F93+F97</f>
        <v>1822976</v>
      </c>
    </row>
    <row r="99" spans="3:8" ht="13.5" thickTop="1" x14ac:dyDescent="0.2"/>
    <row r="101" spans="3:8" x14ac:dyDescent="0.2">
      <c r="C101" s="195"/>
      <c r="D101" s="195"/>
      <c r="E101" s="195"/>
      <c r="F101" s="195" t="s">
        <v>17</v>
      </c>
      <c r="G101" s="195"/>
      <c r="H101" s="195"/>
    </row>
    <row r="102" spans="3:8" x14ac:dyDescent="0.2">
      <c r="C102" s="161"/>
      <c r="F102" s="195"/>
      <c r="G102" s="195"/>
      <c r="H102" s="195"/>
    </row>
    <row r="103" spans="3:8" x14ac:dyDescent="0.2">
      <c r="C103" s="194"/>
      <c r="D103" s="194"/>
      <c r="E103" s="194"/>
    </row>
    <row r="104" spans="3:8" x14ac:dyDescent="0.2">
      <c r="C104" s="195"/>
      <c r="D104" s="195"/>
      <c r="E104" s="195"/>
      <c r="F104" s="172"/>
      <c r="G104" s="172" t="s">
        <v>197</v>
      </c>
      <c r="H104" s="172"/>
    </row>
    <row r="105" spans="3:8" x14ac:dyDescent="0.2">
      <c r="F105" s="195" t="s">
        <v>198</v>
      </c>
      <c r="G105" s="195"/>
      <c r="H105" s="195"/>
    </row>
  </sheetData>
  <mergeCells count="15">
    <mergeCell ref="C6:H6"/>
    <mergeCell ref="C1:H1"/>
    <mergeCell ref="C2:H2"/>
    <mergeCell ref="C3:H3"/>
    <mergeCell ref="C4:H4"/>
    <mergeCell ref="C5:H5"/>
    <mergeCell ref="C103:E103"/>
    <mergeCell ref="C104:E104"/>
    <mergeCell ref="F105:H105"/>
    <mergeCell ref="C7:H7"/>
    <mergeCell ref="C8:H8"/>
    <mergeCell ref="C10:D10"/>
    <mergeCell ref="C101:E101"/>
    <mergeCell ref="F101:H101"/>
    <mergeCell ref="F102:H102"/>
  </mergeCells>
  <pageMargins left="0.5" right="0.25" top="0.25" bottom="0.25" header="0.3" footer="0.3"/>
  <pageSetup paperSize="155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6"/>
  <sheetViews>
    <sheetView topLeftCell="C10" workbookViewId="0">
      <pane xSplit="3" ySplit="4" topLeftCell="F40" activePane="bottomRight" state="frozen"/>
      <selection activeCell="C10" sqref="C10"/>
      <selection pane="topRight" activeCell="F10" sqref="F10"/>
      <selection pane="bottomLeft" activeCell="C14" sqref="C14"/>
      <selection pane="bottomRight" activeCell="H54" sqref="H54"/>
    </sheetView>
  </sheetViews>
  <sheetFormatPr defaultRowHeight="12.75" x14ac:dyDescent="0.2"/>
  <cols>
    <col min="1" max="1" width="18.140625" style="5" hidden="1" customWidth="1"/>
    <col min="2" max="2" width="3.28515625" style="6" customWidth="1"/>
    <col min="3" max="3" width="5.140625" style="5" customWidth="1"/>
    <col min="4" max="4" width="5.85546875" style="5" customWidth="1"/>
    <col min="5" max="5" width="47.42578125" style="5" customWidth="1"/>
    <col min="6" max="6" width="16.28515625" style="5" customWidth="1"/>
    <col min="7" max="7" width="14.85546875" style="5" customWidth="1"/>
    <col min="8" max="8" width="16.5703125" style="5" customWidth="1"/>
    <col min="9" max="16384" width="9.140625" style="5"/>
  </cols>
  <sheetData>
    <row r="1" spans="3:10" x14ac:dyDescent="0.2">
      <c r="C1" s="195" t="s">
        <v>0</v>
      </c>
      <c r="D1" s="195"/>
      <c r="E1" s="195"/>
      <c r="F1" s="195"/>
      <c r="G1" s="195"/>
      <c r="H1" s="195"/>
    </row>
    <row r="2" spans="3:10" x14ac:dyDescent="0.2">
      <c r="C2" s="195" t="s">
        <v>1</v>
      </c>
      <c r="D2" s="195"/>
      <c r="E2" s="195"/>
      <c r="F2" s="195"/>
      <c r="G2" s="195"/>
      <c r="H2" s="195"/>
    </row>
    <row r="3" spans="3:10" x14ac:dyDescent="0.2">
      <c r="C3" s="195"/>
      <c r="D3" s="195"/>
      <c r="E3" s="195"/>
      <c r="F3" s="195"/>
      <c r="G3" s="195"/>
      <c r="H3" s="195"/>
    </row>
    <row r="4" spans="3:10" x14ac:dyDescent="0.2">
      <c r="C4" s="194" t="s">
        <v>2</v>
      </c>
      <c r="D4" s="194"/>
      <c r="E4" s="194"/>
      <c r="F4" s="194"/>
      <c r="G4" s="194"/>
      <c r="H4" s="194"/>
    </row>
    <row r="5" spans="3:10" x14ac:dyDescent="0.2">
      <c r="C5" s="195" t="s">
        <v>207</v>
      </c>
      <c r="D5" s="195"/>
      <c r="E5" s="195"/>
      <c r="F5" s="195"/>
      <c r="G5" s="195"/>
      <c r="H5" s="195"/>
    </row>
    <row r="6" spans="3:10" x14ac:dyDescent="0.2">
      <c r="C6" s="195"/>
      <c r="D6" s="195"/>
      <c r="E6" s="195"/>
      <c r="F6" s="195"/>
      <c r="G6" s="195"/>
      <c r="H6" s="195"/>
    </row>
    <row r="7" spans="3:10" x14ac:dyDescent="0.2">
      <c r="C7" s="194" t="s">
        <v>209</v>
      </c>
      <c r="D7" s="194"/>
      <c r="E7" s="194"/>
      <c r="F7" s="194"/>
      <c r="G7" s="194"/>
      <c r="H7" s="194"/>
    </row>
    <row r="8" spans="3:10" x14ac:dyDescent="0.2">
      <c r="C8" s="195" t="s">
        <v>245</v>
      </c>
      <c r="D8" s="195"/>
      <c r="E8" s="195"/>
      <c r="F8" s="195"/>
      <c r="G8" s="195"/>
      <c r="H8" s="195"/>
    </row>
    <row r="10" spans="3:10" ht="38.25" x14ac:dyDescent="0.2">
      <c r="C10" s="196" t="s">
        <v>3</v>
      </c>
      <c r="D10" s="196"/>
      <c r="E10" s="175" t="s">
        <v>4</v>
      </c>
      <c r="F10" s="175" t="s">
        <v>244</v>
      </c>
      <c r="G10" s="175" t="s">
        <v>240</v>
      </c>
      <c r="H10" s="175" t="s">
        <v>243</v>
      </c>
      <c r="I10" s="148"/>
      <c r="J10" s="148"/>
    </row>
    <row r="11" spans="3:10" x14ac:dyDescent="0.2">
      <c r="C11" s="149" t="s">
        <v>6</v>
      </c>
      <c r="D11" s="150"/>
      <c r="E11" s="151"/>
      <c r="F11" s="152"/>
      <c r="G11" s="151"/>
      <c r="H11" s="151"/>
    </row>
    <row r="12" spans="3:10" x14ac:dyDescent="0.2">
      <c r="C12" s="153"/>
      <c r="D12" s="154" t="s">
        <v>7</v>
      </c>
      <c r="E12" s="23"/>
      <c r="F12" s="154">
        <v>0</v>
      </c>
      <c r="G12" s="23"/>
      <c r="H12" s="154">
        <v>0</v>
      </c>
    </row>
    <row r="13" spans="3:10" x14ac:dyDescent="0.2">
      <c r="C13" s="29"/>
      <c r="D13" s="154" t="s">
        <v>21</v>
      </c>
      <c r="E13" s="23"/>
      <c r="F13" s="154">
        <f>SUM(F14:F28)</f>
        <v>694290</v>
      </c>
      <c r="G13" s="154">
        <f>SUM(G14:G28)</f>
        <v>596290</v>
      </c>
      <c r="H13" s="154">
        <f>SUM(H14:H28)</f>
        <v>98000</v>
      </c>
    </row>
    <row r="14" spans="3:10" x14ac:dyDescent="0.2">
      <c r="C14" s="29"/>
      <c r="D14" s="155"/>
      <c r="E14" s="171" t="s">
        <v>8</v>
      </c>
      <c r="F14" s="156">
        <f>SUM(G14:H14)</f>
        <v>27000</v>
      </c>
      <c r="G14" s="157">
        <f>'ROI - APR'!F14</f>
        <v>27000</v>
      </c>
      <c r="H14" s="156"/>
    </row>
    <row r="15" spans="3:10" hidden="1" x14ac:dyDescent="0.2">
      <c r="C15" s="29"/>
      <c r="D15" s="33"/>
      <c r="E15" s="171" t="s">
        <v>22</v>
      </c>
      <c r="F15" s="156">
        <f t="shared" ref="F15:F50" si="0">SUM(G15:H15)</f>
        <v>0</v>
      </c>
      <c r="G15" s="157">
        <f>'ROI - JAN.'!F15</f>
        <v>0</v>
      </c>
      <c r="H15" s="156"/>
    </row>
    <row r="16" spans="3:10" x14ac:dyDescent="0.2">
      <c r="C16" s="29"/>
      <c r="D16" s="33"/>
      <c r="E16" s="171" t="s">
        <v>23</v>
      </c>
      <c r="F16" s="156">
        <f>SUM(G16:H16)</f>
        <v>331570</v>
      </c>
      <c r="G16" s="157">
        <f>'ROI - APR'!F16</f>
        <v>274570</v>
      </c>
      <c r="H16" s="156">
        <v>57000</v>
      </c>
    </row>
    <row r="17" spans="3:8" hidden="1" x14ac:dyDescent="0.2">
      <c r="C17" s="29"/>
      <c r="D17" s="33"/>
      <c r="E17" s="171" t="s">
        <v>24</v>
      </c>
      <c r="F17" s="156">
        <f t="shared" si="0"/>
        <v>0</v>
      </c>
      <c r="G17" s="157">
        <f>'ROI - MAR'!F17</f>
        <v>0</v>
      </c>
      <c r="H17" s="156"/>
    </row>
    <row r="18" spans="3:8" hidden="1" x14ac:dyDescent="0.2">
      <c r="C18" s="29"/>
      <c r="D18" s="33"/>
      <c r="E18" s="171" t="s">
        <v>25</v>
      </c>
      <c r="F18" s="156">
        <f t="shared" si="0"/>
        <v>0</v>
      </c>
      <c r="G18" s="157">
        <f>'ROI - MAR'!F18</f>
        <v>0</v>
      </c>
      <c r="H18" s="156"/>
    </row>
    <row r="19" spans="3:8" hidden="1" x14ac:dyDescent="0.2">
      <c r="C19" s="29"/>
      <c r="D19" s="33"/>
      <c r="E19" s="171" t="s">
        <v>26</v>
      </c>
      <c r="F19" s="156">
        <f t="shared" si="0"/>
        <v>0</v>
      </c>
      <c r="G19" s="157">
        <f>'ROI - MAR'!F19</f>
        <v>0</v>
      </c>
      <c r="H19" s="156"/>
    </row>
    <row r="20" spans="3:8" x14ac:dyDescent="0.2">
      <c r="C20" s="29"/>
      <c r="D20" s="33"/>
      <c r="E20" s="171" t="s">
        <v>27</v>
      </c>
      <c r="F20" s="156">
        <f t="shared" si="0"/>
        <v>80000</v>
      </c>
      <c r="G20" s="157">
        <f>'ROI - APR'!F20</f>
        <v>80000</v>
      </c>
      <c r="H20" s="156"/>
    </row>
    <row r="21" spans="3:8" x14ac:dyDescent="0.2">
      <c r="C21" s="29"/>
      <c r="D21" s="33"/>
      <c r="E21" s="171" t="s">
        <v>225</v>
      </c>
      <c r="F21" s="156">
        <f>SUM(G21:H21)</f>
        <v>104000</v>
      </c>
      <c r="G21" s="157">
        <f>'ROI - APR'!F21</f>
        <v>93000</v>
      </c>
      <c r="H21" s="156">
        <v>11000</v>
      </c>
    </row>
    <row r="22" spans="3:8" hidden="1" x14ac:dyDescent="0.2">
      <c r="C22" s="29"/>
      <c r="D22" s="33"/>
      <c r="E22" s="171" t="s">
        <v>30</v>
      </c>
      <c r="F22" s="156">
        <f t="shared" si="0"/>
        <v>0</v>
      </c>
      <c r="G22" s="157">
        <f>'ROI - MAR'!F22</f>
        <v>0</v>
      </c>
      <c r="H22" s="156"/>
    </row>
    <row r="23" spans="3:8" x14ac:dyDescent="0.2">
      <c r="C23" s="29"/>
      <c r="D23" s="33"/>
      <c r="E23" s="171" t="s">
        <v>31</v>
      </c>
      <c r="F23" s="156">
        <f>SUM(G23:H23)</f>
        <v>108000</v>
      </c>
      <c r="G23" s="157">
        <f>'ROI - APR'!F23</f>
        <v>82800</v>
      </c>
      <c r="H23" s="156">
        <v>25200</v>
      </c>
    </row>
    <row r="24" spans="3:8" hidden="1" x14ac:dyDescent="0.2">
      <c r="C24" s="29"/>
      <c r="D24" s="33"/>
      <c r="E24" s="171" t="s">
        <v>32</v>
      </c>
      <c r="F24" s="156">
        <f t="shared" si="0"/>
        <v>0</v>
      </c>
      <c r="G24" s="157">
        <f>'ROI - MAR'!F24</f>
        <v>0</v>
      </c>
      <c r="H24" s="156"/>
    </row>
    <row r="25" spans="3:8" hidden="1" x14ac:dyDescent="0.2">
      <c r="C25" s="29"/>
      <c r="D25" s="33"/>
      <c r="E25" s="171" t="s">
        <v>33</v>
      </c>
      <c r="F25" s="156">
        <f t="shared" si="0"/>
        <v>0</v>
      </c>
      <c r="G25" s="157">
        <f>'ROI - MAR'!F25</f>
        <v>0</v>
      </c>
      <c r="H25" s="156"/>
    </row>
    <row r="26" spans="3:8" x14ac:dyDescent="0.2">
      <c r="C26" s="29"/>
      <c r="D26" s="33"/>
      <c r="E26" s="171" t="s">
        <v>194</v>
      </c>
      <c r="F26" s="156">
        <f>SUM(G26:H26)</f>
        <v>22120</v>
      </c>
      <c r="G26" s="157">
        <f>'ROI - APR'!F26</f>
        <v>17620</v>
      </c>
      <c r="H26" s="156">
        <v>4500</v>
      </c>
    </row>
    <row r="27" spans="3:8" hidden="1" x14ac:dyDescent="0.2">
      <c r="C27" s="29"/>
      <c r="D27" s="158"/>
      <c r="E27" s="171" t="s">
        <v>34</v>
      </c>
      <c r="F27" s="156">
        <f t="shared" si="0"/>
        <v>0</v>
      </c>
      <c r="G27" s="157">
        <f>'ROI - MAR'!F27</f>
        <v>0</v>
      </c>
      <c r="H27" s="156"/>
    </row>
    <row r="28" spans="3:8" x14ac:dyDescent="0.2">
      <c r="C28" s="29"/>
      <c r="D28" s="158"/>
      <c r="E28" s="171" t="s">
        <v>214</v>
      </c>
      <c r="F28" s="156">
        <f>SUM(G28:H28)</f>
        <v>21600</v>
      </c>
      <c r="G28" s="157">
        <f>'ROI - APR'!F28</f>
        <v>21300</v>
      </c>
      <c r="H28" s="156">
        <v>300</v>
      </c>
    </row>
    <row r="29" spans="3:8" x14ac:dyDescent="0.2">
      <c r="C29" s="29"/>
      <c r="D29" s="159" t="s">
        <v>35</v>
      </c>
      <c r="E29" s="171"/>
      <c r="F29" s="154">
        <f>SUM(F30:F44)</f>
        <v>1299290</v>
      </c>
      <c r="G29" s="154">
        <f>SUM(G30:G44)</f>
        <v>1147190</v>
      </c>
      <c r="H29" s="154">
        <f>SUM(H30:H44)</f>
        <v>152100</v>
      </c>
    </row>
    <row r="30" spans="3:8" hidden="1" x14ac:dyDescent="0.2">
      <c r="C30" s="29"/>
      <c r="D30" s="155"/>
      <c r="E30" s="171" t="s">
        <v>36</v>
      </c>
      <c r="F30" s="156">
        <f t="shared" si="0"/>
        <v>0</v>
      </c>
      <c r="G30" s="157">
        <f>'ROI - JAN.'!F30</f>
        <v>0</v>
      </c>
      <c r="H30" s="156"/>
    </row>
    <row r="31" spans="3:8" hidden="1" x14ac:dyDescent="0.2">
      <c r="C31" s="29"/>
      <c r="D31" s="33"/>
      <c r="E31" s="171" t="s">
        <v>37</v>
      </c>
      <c r="F31" s="156">
        <f t="shared" si="0"/>
        <v>0</v>
      </c>
      <c r="G31" s="157">
        <f>'ROI - JAN.'!F31</f>
        <v>0</v>
      </c>
      <c r="H31" s="156"/>
    </row>
    <row r="32" spans="3:8" hidden="1" x14ac:dyDescent="0.2">
      <c r="C32" s="29"/>
      <c r="D32" s="33"/>
      <c r="E32" s="171" t="s">
        <v>38</v>
      </c>
      <c r="F32" s="156">
        <f t="shared" si="0"/>
        <v>0</v>
      </c>
      <c r="G32" s="157">
        <f>'ROI - JAN.'!F32</f>
        <v>0</v>
      </c>
      <c r="H32" s="156"/>
    </row>
    <row r="33" spans="2:8" hidden="1" x14ac:dyDescent="0.2">
      <c r="C33" s="29"/>
      <c r="D33" s="33"/>
      <c r="E33" s="171" t="s">
        <v>39</v>
      </c>
      <c r="F33" s="156">
        <f t="shared" si="0"/>
        <v>0</v>
      </c>
      <c r="G33" s="157">
        <f>'ROI - MAR'!F33</f>
        <v>0</v>
      </c>
      <c r="H33" s="156"/>
    </row>
    <row r="34" spans="2:8" x14ac:dyDescent="0.2">
      <c r="C34" s="29"/>
      <c r="D34" s="33"/>
      <c r="E34" s="171" t="s">
        <v>40</v>
      </c>
      <c r="F34" s="156">
        <f>SUM(G34:H34)</f>
        <v>51000</v>
      </c>
      <c r="G34" s="157">
        <f>'ROI - APR'!F34</f>
        <v>28000</v>
      </c>
      <c r="H34" s="156">
        <v>23000</v>
      </c>
    </row>
    <row r="35" spans="2:8" x14ac:dyDescent="0.2">
      <c r="C35" s="29"/>
      <c r="D35" s="33"/>
      <c r="E35" s="171" t="s">
        <v>41</v>
      </c>
      <c r="F35" s="156">
        <f>SUM(G35:H35)</f>
        <v>92000</v>
      </c>
      <c r="G35" s="157">
        <f>'ROI - APR'!F35</f>
        <v>86000</v>
      </c>
      <c r="H35" s="156">
        <v>6000</v>
      </c>
    </row>
    <row r="36" spans="2:8" s="161" customFormat="1" x14ac:dyDescent="0.2">
      <c r="B36" s="160"/>
      <c r="C36" s="29"/>
      <c r="D36" s="33"/>
      <c r="E36" s="171" t="s">
        <v>42</v>
      </c>
      <c r="F36" s="156">
        <f t="shared" si="0"/>
        <v>0</v>
      </c>
      <c r="G36" s="157">
        <f>'ROI - APR'!F36</f>
        <v>0</v>
      </c>
      <c r="H36" s="154"/>
    </row>
    <row r="37" spans="2:8" x14ac:dyDescent="0.2">
      <c r="C37" s="29"/>
      <c r="D37" s="33"/>
      <c r="E37" s="171" t="s">
        <v>43</v>
      </c>
      <c r="F37" s="156">
        <f t="shared" si="0"/>
        <v>0</v>
      </c>
      <c r="G37" s="157">
        <f>'ROI - APR'!F37</f>
        <v>0</v>
      </c>
      <c r="H37" s="156"/>
    </row>
    <row r="38" spans="2:8" x14ac:dyDescent="0.2">
      <c r="C38" s="29"/>
      <c r="D38" s="33"/>
      <c r="E38" s="171" t="s">
        <v>44</v>
      </c>
      <c r="F38" s="156">
        <f t="shared" si="0"/>
        <v>0</v>
      </c>
      <c r="G38" s="157">
        <f>'ROI - APR'!F38</f>
        <v>0</v>
      </c>
      <c r="H38" s="156"/>
    </row>
    <row r="39" spans="2:8" ht="12" customHeight="1" x14ac:dyDescent="0.2">
      <c r="C39" s="29"/>
      <c r="D39" s="33"/>
      <c r="E39" s="171" t="s">
        <v>45</v>
      </c>
      <c r="F39" s="156">
        <f t="shared" ref="F39:F44" si="1">SUM(G39:H39)</f>
        <v>186250</v>
      </c>
      <c r="G39" s="157">
        <f>'ROI - APR'!F39</f>
        <v>144250</v>
      </c>
      <c r="H39" s="156">
        <v>42000</v>
      </c>
    </row>
    <row r="40" spans="2:8" x14ac:dyDescent="0.2">
      <c r="C40" s="29"/>
      <c r="D40" s="158"/>
      <c r="E40" s="171" t="s">
        <v>199</v>
      </c>
      <c r="F40" s="156">
        <f t="shared" si="1"/>
        <v>104600</v>
      </c>
      <c r="G40" s="157">
        <f>'ROI - APR'!F40</f>
        <v>83500</v>
      </c>
      <c r="H40" s="156">
        <v>21100</v>
      </c>
    </row>
    <row r="41" spans="2:8" x14ac:dyDescent="0.2">
      <c r="C41" s="29"/>
      <c r="D41" s="158"/>
      <c r="E41" s="171" t="s">
        <v>213</v>
      </c>
      <c r="F41" s="156">
        <f t="shared" si="1"/>
        <v>781440</v>
      </c>
      <c r="G41" s="157">
        <f>'ROI - APR'!F41</f>
        <v>727440</v>
      </c>
      <c r="H41" s="156">
        <v>54000</v>
      </c>
    </row>
    <row r="42" spans="2:8" x14ac:dyDescent="0.2">
      <c r="C42" s="29"/>
      <c r="D42" s="158"/>
      <c r="E42" s="171" t="s">
        <v>220</v>
      </c>
      <c r="F42" s="156">
        <f t="shared" si="1"/>
        <v>18000</v>
      </c>
      <c r="G42" s="157">
        <f>'ROI - APR'!F42</f>
        <v>18000</v>
      </c>
      <c r="H42" s="156"/>
    </row>
    <row r="43" spans="2:8" x14ac:dyDescent="0.2">
      <c r="C43" s="29"/>
      <c r="D43" s="158"/>
      <c r="E43" s="171" t="s">
        <v>224</v>
      </c>
      <c r="F43" s="156">
        <f t="shared" si="1"/>
        <v>60000</v>
      </c>
      <c r="G43" s="157">
        <f>'ROI - APR'!F43</f>
        <v>60000</v>
      </c>
      <c r="H43" s="156"/>
    </row>
    <row r="44" spans="2:8" x14ac:dyDescent="0.2">
      <c r="C44" s="29"/>
      <c r="D44" s="158"/>
      <c r="E44" s="171" t="s">
        <v>246</v>
      </c>
      <c r="F44" s="156">
        <f t="shared" si="1"/>
        <v>6000</v>
      </c>
      <c r="G44" s="157">
        <v>0</v>
      </c>
      <c r="H44" s="156">
        <v>6000</v>
      </c>
    </row>
    <row r="45" spans="2:8" x14ac:dyDescent="0.2">
      <c r="C45" s="29"/>
      <c r="D45" s="159" t="s">
        <v>10</v>
      </c>
      <c r="E45" s="23"/>
      <c r="F45" s="154">
        <f>SUM(F46:F50)</f>
        <v>10191</v>
      </c>
      <c r="G45" s="154">
        <f>SUM(G46:G50)</f>
        <v>6691</v>
      </c>
      <c r="H45" s="154">
        <f>SUM(H46:H50)</f>
        <v>3500</v>
      </c>
    </row>
    <row r="46" spans="2:8" hidden="1" x14ac:dyDescent="0.2">
      <c r="C46" s="29"/>
      <c r="D46" s="155"/>
      <c r="E46" s="23" t="s">
        <v>116</v>
      </c>
      <c r="F46" s="156">
        <f t="shared" si="0"/>
        <v>0</v>
      </c>
      <c r="G46" s="157">
        <f>'ROI - JAN.'!F43</f>
        <v>0</v>
      </c>
      <c r="H46" s="154"/>
    </row>
    <row r="47" spans="2:8" s="161" customFormat="1" x14ac:dyDescent="0.2">
      <c r="B47" s="160"/>
      <c r="C47" s="29"/>
      <c r="D47" s="155"/>
      <c r="E47" s="23" t="s">
        <v>46</v>
      </c>
      <c r="F47" s="156">
        <f>SUM(G47:H47)</f>
        <v>191</v>
      </c>
      <c r="G47" s="157">
        <f>'ROI - APR'!F46</f>
        <v>191</v>
      </c>
      <c r="H47" s="156"/>
    </row>
    <row r="48" spans="2:8" x14ac:dyDescent="0.2">
      <c r="C48" s="29"/>
      <c r="D48" s="33"/>
      <c r="E48" s="23" t="s">
        <v>231</v>
      </c>
      <c r="F48" s="156">
        <f>SUM(G48:H48)</f>
        <v>10000</v>
      </c>
      <c r="G48" s="157">
        <f>'ROI - APR'!F47</f>
        <v>6500</v>
      </c>
      <c r="H48" s="156">
        <v>3500</v>
      </c>
    </row>
    <row r="49" spans="3:8" hidden="1" x14ac:dyDescent="0.2">
      <c r="C49" s="29"/>
      <c r="D49" s="33"/>
      <c r="E49" s="23" t="s">
        <v>48</v>
      </c>
      <c r="F49" s="156">
        <f t="shared" si="0"/>
        <v>0</v>
      </c>
      <c r="G49" s="157">
        <f>'ROI - JAN.'!F46</f>
        <v>0</v>
      </c>
      <c r="H49" s="156"/>
    </row>
    <row r="50" spans="3:8" hidden="1" x14ac:dyDescent="0.2">
      <c r="C50" s="29"/>
      <c r="D50" s="158"/>
      <c r="E50" s="23" t="s">
        <v>49</v>
      </c>
      <c r="F50" s="156">
        <f t="shared" si="0"/>
        <v>0</v>
      </c>
      <c r="G50" s="157">
        <f>'ROI - JAN.'!F47</f>
        <v>0</v>
      </c>
      <c r="H50" s="156"/>
    </row>
    <row r="51" spans="3:8" x14ac:dyDescent="0.2">
      <c r="C51" s="29"/>
      <c r="D51" s="159" t="s">
        <v>50</v>
      </c>
      <c r="E51" s="23"/>
      <c r="F51" s="154">
        <f>SUM(F52:F54)</f>
        <v>81365</v>
      </c>
      <c r="G51" s="154">
        <f>SUM(G52:G54)</f>
        <v>72805</v>
      </c>
      <c r="H51" s="154">
        <f>SUM(H52:H54)</f>
        <v>8560</v>
      </c>
    </row>
    <row r="52" spans="3:8" hidden="1" x14ac:dyDescent="0.2">
      <c r="C52" s="29"/>
      <c r="D52" s="155"/>
      <c r="E52" s="23" t="s">
        <v>51</v>
      </c>
      <c r="F52" s="156">
        <f>H52+G52</f>
        <v>0</v>
      </c>
      <c r="G52" s="157">
        <f>'ROI - JAN.'!F49</f>
        <v>0</v>
      </c>
      <c r="H52" s="156"/>
    </row>
    <row r="53" spans="3:8" x14ac:dyDescent="0.2">
      <c r="C53" s="29"/>
      <c r="D53" s="33"/>
      <c r="E53" s="23" t="s">
        <v>205</v>
      </c>
      <c r="F53" s="156">
        <f>SUM(G53:H53)</f>
        <v>12300</v>
      </c>
      <c r="G53" s="157">
        <f>'ROI - APR'!F52</f>
        <v>8100</v>
      </c>
      <c r="H53" s="156">
        <v>4200</v>
      </c>
    </row>
    <row r="54" spans="3:8" x14ac:dyDescent="0.2">
      <c r="C54" s="29"/>
      <c r="D54" s="158"/>
      <c r="E54" s="23" t="s">
        <v>52</v>
      </c>
      <c r="F54" s="156">
        <f>SUM(G54:H54)</f>
        <v>69065</v>
      </c>
      <c r="G54" s="157">
        <f>'ROI - APR'!F53</f>
        <v>64705</v>
      </c>
      <c r="H54" s="156">
        <v>4360</v>
      </c>
    </row>
    <row r="55" spans="3:8" x14ac:dyDescent="0.2">
      <c r="C55" s="29"/>
      <c r="D55" s="159" t="s">
        <v>53</v>
      </c>
      <c r="E55" s="23"/>
      <c r="F55" s="154">
        <v>0</v>
      </c>
      <c r="G55" s="23"/>
      <c r="H55" s="154">
        <v>0</v>
      </c>
    </row>
    <row r="56" spans="3:8" x14ac:dyDescent="0.2">
      <c r="C56" s="162"/>
      <c r="D56" s="159" t="s">
        <v>57</v>
      </c>
      <c r="E56" s="23"/>
      <c r="F56" s="154">
        <v>0</v>
      </c>
      <c r="G56" s="23"/>
      <c r="H56" s="154">
        <v>0</v>
      </c>
    </row>
    <row r="57" spans="3:8" x14ac:dyDescent="0.2">
      <c r="C57" s="154" t="s">
        <v>11</v>
      </c>
      <c r="D57" s="159"/>
      <c r="E57" s="23"/>
      <c r="F57" s="156">
        <f>F12+F13+F29+F45+F51+F55+F56</f>
        <v>2085136</v>
      </c>
      <c r="G57" s="156">
        <f>G12+G13+G29+G45+G51+G55+G56</f>
        <v>1822976</v>
      </c>
      <c r="H57" s="156">
        <f>H12+H13+H29+H45+H51+H55+H56</f>
        <v>262160</v>
      </c>
    </row>
    <row r="58" spans="3:8" x14ac:dyDescent="0.2">
      <c r="C58" s="154" t="s">
        <v>12</v>
      </c>
      <c r="D58" s="159"/>
      <c r="E58" s="23"/>
      <c r="F58" s="156"/>
      <c r="G58" s="23"/>
      <c r="H58" s="156"/>
    </row>
    <row r="59" spans="3:8" hidden="1" x14ac:dyDescent="0.2">
      <c r="C59" s="153"/>
      <c r="D59" s="159" t="s">
        <v>7</v>
      </c>
      <c r="E59" s="23"/>
      <c r="F59" s="156">
        <v>0</v>
      </c>
      <c r="G59" s="23"/>
      <c r="H59" s="156">
        <v>0</v>
      </c>
    </row>
    <row r="60" spans="3:8" hidden="1" x14ac:dyDescent="0.2">
      <c r="C60" s="29"/>
      <c r="D60" s="159" t="s">
        <v>21</v>
      </c>
      <c r="E60" s="23"/>
      <c r="F60" s="156">
        <v>0</v>
      </c>
      <c r="G60" s="23"/>
      <c r="H60" s="156">
        <v>0</v>
      </c>
    </row>
    <row r="61" spans="3:8" hidden="1" x14ac:dyDescent="0.2">
      <c r="C61" s="29"/>
      <c r="D61" s="159" t="s">
        <v>35</v>
      </c>
      <c r="E61" s="23"/>
      <c r="F61" s="156">
        <v>0</v>
      </c>
      <c r="G61" s="23"/>
      <c r="H61" s="156">
        <v>0</v>
      </c>
    </row>
    <row r="62" spans="3:8" hidden="1" x14ac:dyDescent="0.2">
      <c r="C62" s="29"/>
      <c r="D62" s="159" t="s">
        <v>10</v>
      </c>
      <c r="E62" s="23"/>
      <c r="F62" s="156">
        <v>0</v>
      </c>
      <c r="G62" s="23"/>
      <c r="H62" s="156">
        <v>0</v>
      </c>
    </row>
    <row r="63" spans="3:8" hidden="1" x14ac:dyDescent="0.2">
      <c r="C63" s="29"/>
      <c r="D63" s="159" t="s">
        <v>50</v>
      </c>
      <c r="E63" s="23"/>
      <c r="F63" s="156">
        <v>0</v>
      </c>
      <c r="G63" s="23"/>
      <c r="H63" s="156">
        <v>0</v>
      </c>
    </row>
    <row r="64" spans="3:8" hidden="1" x14ac:dyDescent="0.2">
      <c r="C64" s="29"/>
      <c r="D64" s="159" t="s">
        <v>53</v>
      </c>
      <c r="E64" s="23"/>
      <c r="F64" s="156">
        <v>0</v>
      </c>
      <c r="G64" s="23"/>
      <c r="H64" s="156">
        <v>0</v>
      </c>
    </row>
    <row r="65" spans="2:9" hidden="1" x14ac:dyDescent="0.2">
      <c r="C65" s="162"/>
      <c r="D65" s="159" t="s">
        <v>57</v>
      </c>
      <c r="E65" s="23"/>
      <c r="F65" s="156">
        <v>0</v>
      </c>
      <c r="G65" s="23"/>
      <c r="H65" s="156">
        <v>0</v>
      </c>
    </row>
    <row r="66" spans="2:9" x14ac:dyDescent="0.2">
      <c r="C66" s="154" t="s">
        <v>13</v>
      </c>
      <c r="D66" s="159"/>
      <c r="E66" s="159"/>
      <c r="F66" s="154">
        <f>SUM(F59:F65)</f>
        <v>0</v>
      </c>
      <c r="G66" s="23"/>
      <c r="H66" s="154">
        <f>SUM(H59:H65)</f>
        <v>0</v>
      </c>
    </row>
    <row r="67" spans="2:9" x14ac:dyDescent="0.2">
      <c r="C67" s="163" t="s">
        <v>14</v>
      </c>
      <c r="D67" s="164"/>
      <c r="E67" s="165"/>
      <c r="F67" s="166">
        <f>F57+F66</f>
        <v>2085136</v>
      </c>
      <c r="G67" s="166">
        <f>G57+G66</f>
        <v>1822976</v>
      </c>
      <c r="H67" s="166">
        <f>H57+H66</f>
        <v>262160</v>
      </c>
    </row>
    <row r="68" spans="2:9" x14ac:dyDescent="0.2">
      <c r="C68" s="160"/>
      <c r="D68" s="161"/>
      <c r="F68" s="6"/>
    </row>
    <row r="69" spans="2:9" x14ac:dyDescent="0.2">
      <c r="E69" s="161" t="s">
        <v>15</v>
      </c>
      <c r="G69" s="167"/>
    </row>
    <row r="70" spans="2:9" s="161" customFormat="1" x14ac:dyDescent="0.2">
      <c r="B70" s="160"/>
      <c r="C70" s="5"/>
      <c r="D70" s="5"/>
      <c r="E70" s="5"/>
      <c r="F70" s="5"/>
      <c r="G70" s="167"/>
      <c r="H70" s="5"/>
    </row>
    <row r="71" spans="2:9" x14ac:dyDescent="0.2">
      <c r="E71" s="161" t="s">
        <v>7</v>
      </c>
      <c r="G71" s="161"/>
      <c r="H71" s="177"/>
      <c r="I71" s="167"/>
    </row>
    <row r="72" spans="2:9" x14ac:dyDescent="0.2">
      <c r="E72" s="5" t="s">
        <v>54</v>
      </c>
      <c r="F72" s="167">
        <f>F12</f>
        <v>0</v>
      </c>
      <c r="G72" s="167"/>
      <c r="H72" s="167"/>
    </row>
    <row r="73" spans="2:9" x14ac:dyDescent="0.2">
      <c r="E73" s="5" t="s">
        <v>55</v>
      </c>
      <c r="F73" s="167">
        <f>F59</f>
        <v>0</v>
      </c>
    </row>
    <row r="74" spans="2:9" x14ac:dyDescent="0.2">
      <c r="E74" s="168" t="s">
        <v>56</v>
      </c>
      <c r="F74" s="169">
        <f>F72+F73</f>
        <v>0</v>
      </c>
    </row>
    <row r="75" spans="2:9" x14ac:dyDescent="0.2">
      <c r="E75" s="161" t="s">
        <v>21</v>
      </c>
      <c r="H75" s="167"/>
    </row>
    <row r="76" spans="2:9" x14ac:dyDescent="0.2">
      <c r="E76" s="5" t="s">
        <v>54</v>
      </c>
      <c r="F76" s="167">
        <f>F13</f>
        <v>694290</v>
      </c>
    </row>
    <row r="77" spans="2:9" x14ac:dyDescent="0.2">
      <c r="E77" s="5" t="s">
        <v>55</v>
      </c>
      <c r="F77" s="167">
        <f>F60</f>
        <v>0</v>
      </c>
    </row>
    <row r="78" spans="2:9" x14ac:dyDescent="0.2">
      <c r="E78" s="168" t="s">
        <v>56</v>
      </c>
      <c r="F78" s="169">
        <f>F76+F77</f>
        <v>694290</v>
      </c>
    </row>
    <row r="79" spans="2:9" x14ac:dyDescent="0.2">
      <c r="E79" s="161" t="s">
        <v>58</v>
      </c>
    </row>
    <row r="80" spans="2:9" x14ac:dyDescent="0.2">
      <c r="E80" s="5" t="s">
        <v>54</v>
      </c>
      <c r="F80" s="167">
        <f>F29</f>
        <v>1299290</v>
      </c>
    </row>
    <row r="81" spans="5:6" x14ac:dyDescent="0.2">
      <c r="E81" s="5" t="s">
        <v>55</v>
      </c>
      <c r="F81" s="167">
        <f>F61</f>
        <v>0</v>
      </c>
    </row>
    <row r="82" spans="5:6" x14ac:dyDescent="0.2">
      <c r="E82" s="168" t="s">
        <v>56</v>
      </c>
      <c r="F82" s="169">
        <f>F80+F81</f>
        <v>1299290</v>
      </c>
    </row>
    <row r="83" spans="5:6" x14ac:dyDescent="0.2">
      <c r="E83" s="161" t="s">
        <v>10</v>
      </c>
    </row>
    <row r="84" spans="5:6" x14ac:dyDescent="0.2">
      <c r="E84" s="5" t="s">
        <v>54</v>
      </c>
      <c r="F84" s="167">
        <f>F45</f>
        <v>10191</v>
      </c>
    </row>
    <row r="85" spans="5:6" x14ac:dyDescent="0.2">
      <c r="E85" s="5" t="s">
        <v>55</v>
      </c>
      <c r="F85" s="167">
        <f>F62</f>
        <v>0</v>
      </c>
    </row>
    <row r="86" spans="5:6" x14ac:dyDescent="0.2">
      <c r="E86" s="168" t="s">
        <v>56</v>
      </c>
      <c r="F86" s="169">
        <f>F84+F85</f>
        <v>10191</v>
      </c>
    </row>
    <row r="87" spans="5:6" x14ac:dyDescent="0.2">
      <c r="E87" s="161" t="s">
        <v>50</v>
      </c>
    </row>
    <row r="88" spans="5:6" x14ac:dyDescent="0.2">
      <c r="E88" s="5" t="s">
        <v>54</v>
      </c>
      <c r="F88" s="167">
        <f>F51</f>
        <v>81365</v>
      </c>
    </row>
    <row r="89" spans="5:6" x14ac:dyDescent="0.2">
      <c r="E89" s="5" t="s">
        <v>55</v>
      </c>
      <c r="F89" s="167">
        <f>F63</f>
        <v>0</v>
      </c>
    </row>
    <row r="90" spans="5:6" x14ac:dyDescent="0.2">
      <c r="E90" s="168" t="s">
        <v>56</v>
      </c>
      <c r="F90" s="169">
        <f>F88+F89</f>
        <v>81365</v>
      </c>
    </row>
    <row r="91" spans="5:6" hidden="1" x14ac:dyDescent="0.2">
      <c r="E91" s="161" t="s">
        <v>53</v>
      </c>
    </row>
    <row r="92" spans="5:6" hidden="1" x14ac:dyDescent="0.2">
      <c r="E92" s="5" t="s">
        <v>54</v>
      </c>
      <c r="F92" s="167">
        <f>F55</f>
        <v>0</v>
      </c>
    </row>
    <row r="93" spans="5:6" hidden="1" x14ac:dyDescent="0.2">
      <c r="E93" s="5" t="s">
        <v>55</v>
      </c>
      <c r="F93" s="167">
        <f>F64</f>
        <v>0</v>
      </c>
    </row>
    <row r="94" spans="5:6" hidden="1" x14ac:dyDescent="0.2">
      <c r="E94" s="168" t="s">
        <v>56</v>
      </c>
      <c r="F94" s="169">
        <f>F92+F93</f>
        <v>0</v>
      </c>
    </row>
    <row r="95" spans="5:6" hidden="1" x14ac:dyDescent="0.2">
      <c r="E95" s="161" t="s">
        <v>57</v>
      </c>
    </row>
    <row r="96" spans="5:6" hidden="1" x14ac:dyDescent="0.2">
      <c r="E96" s="5" t="s">
        <v>54</v>
      </c>
      <c r="F96" s="167">
        <f>F56</f>
        <v>0</v>
      </c>
    </row>
    <row r="97" spans="3:8" hidden="1" x14ac:dyDescent="0.2">
      <c r="E97" s="5" t="s">
        <v>55</v>
      </c>
      <c r="F97" s="167">
        <f>F65</f>
        <v>0</v>
      </c>
    </row>
    <row r="98" spans="3:8" x14ac:dyDescent="0.2">
      <c r="E98" s="168" t="s">
        <v>56</v>
      </c>
      <c r="F98" s="169">
        <f>F96+F97</f>
        <v>0</v>
      </c>
    </row>
    <row r="99" spans="3:8" ht="13.5" thickBot="1" x14ac:dyDescent="0.25">
      <c r="E99" s="161" t="s">
        <v>59</v>
      </c>
      <c r="F99" s="170">
        <f>F74+F78+F82+F86+F90+F94+F98</f>
        <v>2085136</v>
      </c>
    </row>
    <row r="100" spans="3:8" ht="13.5" thickTop="1" x14ac:dyDescent="0.2"/>
    <row r="102" spans="3:8" x14ac:dyDescent="0.2">
      <c r="C102" s="195"/>
      <c r="D102" s="195"/>
      <c r="E102" s="195"/>
      <c r="F102" s="195" t="s">
        <v>17</v>
      </c>
      <c r="G102" s="195"/>
      <c r="H102" s="195"/>
    </row>
    <row r="103" spans="3:8" x14ac:dyDescent="0.2">
      <c r="C103" s="161"/>
      <c r="F103" s="195"/>
      <c r="G103" s="195"/>
      <c r="H103" s="195"/>
    </row>
    <row r="104" spans="3:8" x14ac:dyDescent="0.2">
      <c r="C104" s="194"/>
      <c r="D104" s="194"/>
      <c r="E104" s="194"/>
    </row>
    <row r="105" spans="3:8" x14ac:dyDescent="0.2">
      <c r="C105" s="195"/>
      <c r="D105" s="195"/>
      <c r="E105" s="195"/>
      <c r="F105" s="172"/>
      <c r="G105" s="172" t="s">
        <v>197</v>
      </c>
      <c r="H105" s="172"/>
    </row>
    <row r="106" spans="3:8" x14ac:dyDescent="0.2">
      <c r="F106" s="195" t="s">
        <v>198</v>
      </c>
      <c r="G106" s="195"/>
      <c r="H106" s="195"/>
    </row>
  </sheetData>
  <mergeCells count="15">
    <mergeCell ref="C104:E104"/>
    <mergeCell ref="C105:E105"/>
    <mergeCell ref="F106:H106"/>
    <mergeCell ref="C7:H7"/>
    <mergeCell ref="C8:H8"/>
    <mergeCell ref="C10:D10"/>
    <mergeCell ref="C102:E102"/>
    <mergeCell ref="F102:H102"/>
    <mergeCell ref="F103:H103"/>
    <mergeCell ref="C6:H6"/>
    <mergeCell ref="C1:H1"/>
    <mergeCell ref="C2:H2"/>
    <mergeCell ref="C3:H3"/>
    <mergeCell ref="C4:H4"/>
    <mergeCell ref="C5:H5"/>
  </mergeCells>
  <pageMargins left="0.5" right="0.25" top="0.25" bottom="0.25" header="0.3" footer="0.3"/>
  <pageSetup paperSize="155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6"/>
  <sheetViews>
    <sheetView topLeftCell="B43" workbookViewId="0">
      <selection activeCell="J40" sqref="J40"/>
    </sheetView>
  </sheetViews>
  <sheetFormatPr defaultRowHeight="12.75" x14ac:dyDescent="0.2"/>
  <cols>
    <col min="1" max="1" width="18.140625" style="5" hidden="1" customWidth="1"/>
    <col min="2" max="2" width="3.28515625" style="6" customWidth="1"/>
    <col min="3" max="3" width="5.140625" style="5" customWidth="1"/>
    <col min="4" max="4" width="5.85546875" style="5" customWidth="1"/>
    <col min="5" max="5" width="47.42578125" style="5" customWidth="1"/>
    <col min="6" max="6" width="16.28515625" style="5" customWidth="1"/>
    <col min="7" max="7" width="14.85546875" style="5" customWidth="1"/>
    <col min="8" max="8" width="16.5703125" style="5" customWidth="1"/>
    <col min="9" max="9" width="9.85546875" style="5" bestFit="1" customWidth="1"/>
    <col min="10" max="16384" width="9.140625" style="5"/>
  </cols>
  <sheetData>
    <row r="1" spans="3:10" x14ac:dyDescent="0.2">
      <c r="C1" s="195" t="s">
        <v>0</v>
      </c>
      <c r="D1" s="195"/>
      <c r="E1" s="195"/>
      <c r="F1" s="195"/>
      <c r="G1" s="195"/>
      <c r="H1" s="195"/>
    </row>
    <row r="2" spans="3:10" x14ac:dyDescent="0.2">
      <c r="C2" s="195" t="s">
        <v>1</v>
      </c>
      <c r="D2" s="195"/>
      <c r="E2" s="195"/>
      <c r="F2" s="195"/>
      <c r="G2" s="195"/>
      <c r="H2" s="195"/>
    </row>
    <row r="3" spans="3:10" x14ac:dyDescent="0.2">
      <c r="C3" s="195"/>
      <c r="D3" s="195"/>
      <c r="E3" s="195"/>
      <c r="F3" s="195"/>
      <c r="G3" s="195"/>
      <c r="H3" s="195"/>
    </row>
    <row r="4" spans="3:10" x14ac:dyDescent="0.2">
      <c r="C4" s="194" t="s">
        <v>2</v>
      </c>
      <c r="D4" s="194"/>
      <c r="E4" s="194"/>
      <c r="F4" s="194"/>
      <c r="G4" s="194"/>
      <c r="H4" s="194"/>
    </row>
    <row r="5" spans="3:10" x14ac:dyDescent="0.2">
      <c r="C5" s="195" t="s">
        <v>207</v>
      </c>
      <c r="D5" s="195"/>
      <c r="E5" s="195"/>
      <c r="F5" s="195"/>
      <c r="G5" s="195"/>
      <c r="H5" s="195"/>
    </row>
    <row r="6" spans="3:10" x14ac:dyDescent="0.2">
      <c r="C6" s="195"/>
      <c r="D6" s="195"/>
      <c r="E6" s="195"/>
      <c r="F6" s="195"/>
      <c r="G6" s="195"/>
      <c r="H6" s="195"/>
    </row>
    <row r="7" spans="3:10" x14ac:dyDescent="0.2">
      <c r="C7" s="194" t="s">
        <v>209</v>
      </c>
      <c r="D7" s="194"/>
      <c r="E7" s="194"/>
      <c r="F7" s="194"/>
      <c r="G7" s="194"/>
      <c r="H7" s="194"/>
    </row>
    <row r="8" spans="3:10" x14ac:dyDescent="0.2">
      <c r="C8" s="195" t="s">
        <v>248</v>
      </c>
      <c r="D8" s="195"/>
      <c r="E8" s="195"/>
      <c r="F8" s="195"/>
      <c r="G8" s="195"/>
      <c r="H8" s="195"/>
    </row>
    <row r="10" spans="3:10" ht="38.25" x14ac:dyDescent="0.2">
      <c r="C10" s="196" t="s">
        <v>3</v>
      </c>
      <c r="D10" s="196"/>
      <c r="E10" s="176" t="s">
        <v>4</v>
      </c>
      <c r="F10" s="176" t="s">
        <v>249</v>
      </c>
      <c r="G10" s="176" t="s">
        <v>245</v>
      </c>
      <c r="H10" s="176" t="s">
        <v>250</v>
      </c>
      <c r="I10" s="148"/>
      <c r="J10" s="148"/>
    </row>
    <row r="11" spans="3:10" x14ac:dyDescent="0.2">
      <c r="C11" s="149" t="s">
        <v>6</v>
      </c>
      <c r="D11" s="150"/>
      <c r="E11" s="151"/>
      <c r="F11" s="152"/>
      <c r="G11" s="151"/>
      <c r="H11" s="151"/>
    </row>
    <row r="12" spans="3:10" x14ac:dyDescent="0.2">
      <c r="C12" s="153"/>
      <c r="D12" s="154" t="s">
        <v>7</v>
      </c>
      <c r="E12" s="23"/>
      <c r="F12" s="154">
        <v>0</v>
      </c>
      <c r="G12" s="23"/>
      <c r="H12" s="154">
        <v>0</v>
      </c>
    </row>
    <row r="13" spans="3:10" x14ac:dyDescent="0.2">
      <c r="C13" s="29"/>
      <c r="D13" s="154" t="s">
        <v>21</v>
      </c>
      <c r="E13" s="23"/>
      <c r="F13" s="154">
        <f>SUM(F14:F28)</f>
        <v>862340</v>
      </c>
      <c r="G13" s="154">
        <f>SUM(G14:G28)</f>
        <v>694290</v>
      </c>
      <c r="H13" s="154">
        <f>SUM(H14:H28)</f>
        <v>168050</v>
      </c>
      <c r="I13" s="167"/>
    </row>
    <row r="14" spans="3:10" x14ac:dyDescent="0.2">
      <c r="C14" s="29"/>
      <c r="D14" s="155"/>
      <c r="E14" s="171" t="s">
        <v>8</v>
      </c>
      <c r="F14" s="156">
        <f>SUM(G14:H14)</f>
        <v>27000</v>
      </c>
      <c r="G14" s="157">
        <f>'ROI - MAY'!F14</f>
        <v>27000</v>
      </c>
      <c r="H14" s="156"/>
    </row>
    <row r="15" spans="3:10" hidden="1" x14ac:dyDescent="0.2">
      <c r="C15" s="29"/>
      <c r="D15" s="33"/>
      <c r="E15" s="171" t="s">
        <v>22</v>
      </c>
      <c r="F15" s="156">
        <f t="shared" ref="F15:F50" si="0">SUM(G15:H15)</f>
        <v>0</v>
      </c>
      <c r="G15" s="157">
        <f>'ROI - JAN.'!F15</f>
        <v>0</v>
      </c>
      <c r="H15" s="156"/>
    </row>
    <row r="16" spans="3:10" x14ac:dyDescent="0.2">
      <c r="C16" s="29"/>
      <c r="D16" s="33"/>
      <c r="E16" s="171" t="s">
        <v>23</v>
      </c>
      <c r="F16" s="156">
        <f>SUM(G16:H16)</f>
        <v>424570</v>
      </c>
      <c r="G16" s="157">
        <f>'ROI - MAY'!F16</f>
        <v>331570</v>
      </c>
      <c r="H16" s="156">
        <v>93000</v>
      </c>
    </row>
    <row r="17" spans="3:9" hidden="1" x14ac:dyDescent="0.2">
      <c r="C17" s="29"/>
      <c r="D17" s="33"/>
      <c r="E17" s="171" t="s">
        <v>24</v>
      </c>
      <c r="F17" s="156">
        <f t="shared" si="0"/>
        <v>0</v>
      </c>
      <c r="G17" s="157">
        <f>'ROI - MAR'!F17</f>
        <v>0</v>
      </c>
      <c r="H17" s="156"/>
    </row>
    <row r="18" spans="3:9" x14ac:dyDescent="0.2">
      <c r="C18" s="29"/>
      <c r="D18" s="33"/>
      <c r="E18" s="171" t="s">
        <v>25</v>
      </c>
      <c r="F18" s="156">
        <f t="shared" si="0"/>
        <v>10000</v>
      </c>
      <c r="G18" s="157">
        <f>'ROI - MAR'!F18</f>
        <v>0</v>
      </c>
      <c r="H18" s="156">
        <v>10000</v>
      </c>
    </row>
    <row r="19" spans="3:9" hidden="1" x14ac:dyDescent="0.2">
      <c r="C19" s="29"/>
      <c r="D19" s="33"/>
      <c r="E19" s="171" t="s">
        <v>26</v>
      </c>
      <c r="F19" s="156">
        <f t="shared" si="0"/>
        <v>0</v>
      </c>
      <c r="G19" s="157">
        <f>'ROI - MAR'!F19</f>
        <v>0</v>
      </c>
      <c r="H19" s="156"/>
    </row>
    <row r="20" spans="3:9" x14ac:dyDescent="0.2">
      <c r="C20" s="29"/>
      <c r="D20" s="33"/>
      <c r="E20" s="171" t="s">
        <v>27</v>
      </c>
      <c r="F20" s="156">
        <f t="shared" si="0"/>
        <v>80000</v>
      </c>
      <c r="G20" s="157">
        <f>'ROI - MAY'!F20</f>
        <v>80000</v>
      </c>
      <c r="H20" s="156"/>
    </row>
    <row r="21" spans="3:9" x14ac:dyDescent="0.2">
      <c r="C21" s="29"/>
      <c r="D21" s="33"/>
      <c r="E21" s="171" t="s">
        <v>225</v>
      </c>
      <c r="F21" s="156">
        <f>SUM(G21:H21)</f>
        <v>122000</v>
      </c>
      <c r="G21" s="157">
        <f>'ROI - MAY'!F21</f>
        <v>104000</v>
      </c>
      <c r="H21" s="156">
        <v>18000</v>
      </c>
    </row>
    <row r="22" spans="3:9" hidden="1" x14ac:dyDescent="0.2">
      <c r="C22" s="29"/>
      <c r="D22" s="33"/>
      <c r="E22" s="171" t="s">
        <v>30</v>
      </c>
      <c r="F22" s="156">
        <f t="shared" si="0"/>
        <v>0</v>
      </c>
      <c r="G22" s="157">
        <f>'ROI - MAR'!F22</f>
        <v>0</v>
      </c>
      <c r="H22" s="156"/>
    </row>
    <row r="23" spans="3:9" x14ac:dyDescent="0.2">
      <c r="C23" s="29"/>
      <c r="D23" s="33"/>
      <c r="E23" s="171" t="s">
        <v>31</v>
      </c>
      <c r="F23" s="156">
        <f>SUM(G23:H23)</f>
        <v>149600</v>
      </c>
      <c r="G23" s="157">
        <f>'ROI - MAY'!F23</f>
        <v>108000</v>
      </c>
      <c r="H23" s="156">
        <v>41600</v>
      </c>
    </row>
    <row r="24" spans="3:9" hidden="1" x14ac:dyDescent="0.2">
      <c r="C24" s="29"/>
      <c r="D24" s="33"/>
      <c r="E24" s="171" t="s">
        <v>32</v>
      </c>
      <c r="F24" s="156">
        <f t="shared" si="0"/>
        <v>0</v>
      </c>
      <c r="G24" s="157">
        <f>'ROI - MAR'!F24</f>
        <v>0</v>
      </c>
      <c r="H24" s="156"/>
    </row>
    <row r="25" spans="3:9" hidden="1" x14ac:dyDescent="0.2">
      <c r="C25" s="29"/>
      <c r="D25" s="33"/>
      <c r="E25" s="171" t="s">
        <v>33</v>
      </c>
      <c r="F25" s="156">
        <f t="shared" si="0"/>
        <v>0</v>
      </c>
      <c r="G25" s="157">
        <f>'ROI - MAR'!F25</f>
        <v>0</v>
      </c>
      <c r="H25" s="156"/>
    </row>
    <row r="26" spans="3:9" x14ac:dyDescent="0.2">
      <c r="C26" s="29"/>
      <c r="D26" s="33"/>
      <c r="E26" s="171" t="s">
        <v>194</v>
      </c>
      <c r="F26" s="156">
        <f>SUM(G26:H26)</f>
        <v>26670</v>
      </c>
      <c r="G26" s="157">
        <f>'ROI - MAY'!F26</f>
        <v>22120</v>
      </c>
      <c r="H26" s="156">
        <v>4550</v>
      </c>
    </row>
    <row r="27" spans="3:9" x14ac:dyDescent="0.2">
      <c r="C27" s="29"/>
      <c r="D27" s="158"/>
      <c r="E27" s="171" t="s">
        <v>34</v>
      </c>
      <c r="F27" s="156">
        <f t="shared" si="0"/>
        <v>0</v>
      </c>
      <c r="G27" s="157">
        <f>'ROI - MAR'!F27</f>
        <v>0</v>
      </c>
      <c r="H27" s="156">
        <v>0</v>
      </c>
    </row>
    <row r="28" spans="3:9" x14ac:dyDescent="0.2">
      <c r="C28" s="29"/>
      <c r="D28" s="158"/>
      <c r="E28" s="171" t="s">
        <v>214</v>
      </c>
      <c r="F28" s="156">
        <f>SUM(G28:H28)</f>
        <v>22500</v>
      </c>
      <c r="G28" s="157">
        <f>'ROI - MAY'!F28</f>
        <v>21600</v>
      </c>
      <c r="H28" s="156">
        <v>900</v>
      </c>
    </row>
    <row r="29" spans="3:9" x14ac:dyDescent="0.2">
      <c r="C29" s="29"/>
      <c r="D29" s="159" t="s">
        <v>35</v>
      </c>
      <c r="E29" s="171"/>
      <c r="F29" s="154">
        <f>SUM(F30:F44)</f>
        <v>1557370</v>
      </c>
      <c r="G29" s="154">
        <f>SUM(G30:G44)</f>
        <v>1299290</v>
      </c>
      <c r="H29" s="154">
        <f>SUM(H30:H44)</f>
        <v>258080</v>
      </c>
      <c r="I29" s="167"/>
    </row>
    <row r="30" spans="3:9" hidden="1" x14ac:dyDescent="0.2">
      <c r="C30" s="29"/>
      <c r="D30" s="155"/>
      <c r="E30" s="171" t="s">
        <v>36</v>
      </c>
      <c r="F30" s="156">
        <f t="shared" si="0"/>
        <v>0</v>
      </c>
      <c r="G30" s="157">
        <f>'ROI - JAN.'!F30</f>
        <v>0</v>
      </c>
      <c r="H30" s="156"/>
    </row>
    <row r="31" spans="3:9" hidden="1" x14ac:dyDescent="0.2">
      <c r="C31" s="29"/>
      <c r="D31" s="33"/>
      <c r="E31" s="171" t="s">
        <v>37</v>
      </c>
      <c r="F31" s="156">
        <f t="shared" si="0"/>
        <v>0</v>
      </c>
      <c r="G31" s="157">
        <f>'ROI - JAN.'!F31</f>
        <v>0</v>
      </c>
      <c r="H31" s="156"/>
    </row>
    <row r="32" spans="3:9" hidden="1" x14ac:dyDescent="0.2">
      <c r="C32" s="29"/>
      <c r="D32" s="33"/>
      <c r="E32" s="171" t="s">
        <v>38</v>
      </c>
      <c r="F32" s="156">
        <f t="shared" si="0"/>
        <v>0</v>
      </c>
      <c r="G32" s="157">
        <f>'ROI - JAN.'!F32</f>
        <v>0</v>
      </c>
      <c r="H32" s="156"/>
    </row>
    <row r="33" spans="2:8" hidden="1" x14ac:dyDescent="0.2">
      <c r="C33" s="29"/>
      <c r="D33" s="33"/>
      <c r="E33" s="171" t="s">
        <v>39</v>
      </c>
      <c r="F33" s="156">
        <f t="shared" si="0"/>
        <v>0</v>
      </c>
      <c r="G33" s="157">
        <f>'ROI - MAR'!F33</f>
        <v>0</v>
      </c>
      <c r="H33" s="156"/>
    </row>
    <row r="34" spans="2:8" x14ac:dyDescent="0.2">
      <c r="C34" s="29"/>
      <c r="D34" s="33"/>
      <c r="E34" s="171" t="s">
        <v>40</v>
      </c>
      <c r="F34" s="156">
        <f>SUM(G34:H34)</f>
        <v>61000</v>
      </c>
      <c r="G34" s="157">
        <f>'ROI - MAY'!F34</f>
        <v>51000</v>
      </c>
      <c r="H34" s="156">
        <v>10000</v>
      </c>
    </row>
    <row r="35" spans="2:8" x14ac:dyDescent="0.2">
      <c r="C35" s="29"/>
      <c r="D35" s="33"/>
      <c r="E35" s="171" t="s">
        <v>41</v>
      </c>
      <c r="F35" s="156">
        <f>SUM(G35:H35)</f>
        <v>124000</v>
      </c>
      <c r="G35" s="157">
        <f>'ROI - MAY'!F35</f>
        <v>92000</v>
      </c>
      <c r="H35" s="156">
        <v>32000</v>
      </c>
    </row>
    <row r="36" spans="2:8" s="161" customFormat="1" x14ac:dyDescent="0.2">
      <c r="B36" s="160"/>
      <c r="C36" s="29"/>
      <c r="D36" s="33"/>
      <c r="E36" s="171" t="s">
        <v>42</v>
      </c>
      <c r="F36" s="156">
        <f t="shared" si="0"/>
        <v>0</v>
      </c>
      <c r="G36" s="157">
        <f>'ROI - MAY'!F36</f>
        <v>0</v>
      </c>
      <c r="H36" s="154"/>
    </row>
    <row r="37" spans="2:8" x14ac:dyDescent="0.2">
      <c r="C37" s="29"/>
      <c r="D37" s="33"/>
      <c r="E37" s="171" t="s">
        <v>43</v>
      </c>
      <c r="F37" s="156">
        <f t="shared" si="0"/>
        <v>0</v>
      </c>
      <c r="G37" s="157">
        <f>'ROI - MAY'!F37</f>
        <v>0</v>
      </c>
      <c r="H37" s="156"/>
    </row>
    <row r="38" spans="2:8" x14ac:dyDescent="0.2">
      <c r="C38" s="29"/>
      <c r="D38" s="33"/>
      <c r="E38" s="171" t="s">
        <v>44</v>
      </c>
      <c r="F38" s="156">
        <f t="shared" si="0"/>
        <v>6000</v>
      </c>
      <c r="G38" s="157">
        <f>'ROI - MAY'!F38</f>
        <v>0</v>
      </c>
      <c r="H38" s="156">
        <v>6000</v>
      </c>
    </row>
    <row r="39" spans="2:8" ht="12" customHeight="1" x14ac:dyDescent="0.2">
      <c r="C39" s="29"/>
      <c r="D39" s="33"/>
      <c r="E39" s="171" t="s">
        <v>45</v>
      </c>
      <c r="F39" s="156">
        <f t="shared" si="0"/>
        <v>219030</v>
      </c>
      <c r="G39" s="157">
        <f>'ROI - MAY'!F39</f>
        <v>186250</v>
      </c>
      <c r="H39" s="156">
        <v>32780</v>
      </c>
    </row>
    <row r="40" spans="2:8" x14ac:dyDescent="0.2">
      <c r="C40" s="29"/>
      <c r="D40" s="158"/>
      <c r="E40" s="171" t="s">
        <v>199</v>
      </c>
      <c r="F40" s="156">
        <f t="shared" si="0"/>
        <v>125900</v>
      </c>
      <c r="G40" s="157">
        <f>'ROI - MAY'!F40</f>
        <v>104600</v>
      </c>
      <c r="H40" s="156">
        <v>21300</v>
      </c>
    </row>
    <row r="41" spans="2:8" x14ac:dyDescent="0.2">
      <c r="C41" s="29"/>
      <c r="D41" s="158"/>
      <c r="E41" s="171" t="s">
        <v>213</v>
      </c>
      <c r="F41" s="156">
        <f t="shared" si="0"/>
        <v>925440</v>
      </c>
      <c r="G41" s="157">
        <f>'ROI - MAY'!F41</f>
        <v>781440</v>
      </c>
      <c r="H41" s="156">
        <v>144000</v>
      </c>
    </row>
    <row r="42" spans="2:8" x14ac:dyDescent="0.2">
      <c r="C42" s="29"/>
      <c r="D42" s="158"/>
      <c r="E42" s="171" t="s">
        <v>220</v>
      </c>
      <c r="F42" s="156">
        <f t="shared" si="0"/>
        <v>24000</v>
      </c>
      <c r="G42" s="157">
        <f>'ROI - MAY'!F42</f>
        <v>18000</v>
      </c>
      <c r="H42" s="156">
        <v>6000</v>
      </c>
    </row>
    <row r="43" spans="2:8" x14ac:dyDescent="0.2">
      <c r="C43" s="29"/>
      <c r="D43" s="158"/>
      <c r="E43" s="171" t="s">
        <v>224</v>
      </c>
      <c r="F43" s="156">
        <f t="shared" si="0"/>
        <v>66000</v>
      </c>
      <c r="G43" s="157">
        <f>'ROI - MAY'!F43</f>
        <v>60000</v>
      </c>
      <c r="H43" s="156">
        <v>6000</v>
      </c>
    </row>
    <row r="44" spans="2:8" x14ac:dyDescent="0.2">
      <c r="C44" s="29"/>
      <c r="D44" s="158"/>
      <c r="E44" s="171" t="s">
        <v>246</v>
      </c>
      <c r="F44" s="156">
        <f t="shared" si="0"/>
        <v>6000</v>
      </c>
      <c r="G44" s="157">
        <f>'ROI - MAY'!F44</f>
        <v>6000</v>
      </c>
      <c r="H44" s="156"/>
    </row>
    <row r="45" spans="2:8" x14ac:dyDescent="0.2">
      <c r="C45" s="29"/>
      <c r="D45" s="159" t="s">
        <v>10</v>
      </c>
      <c r="E45" s="23"/>
      <c r="F45" s="154">
        <f>SUM(F46:F50)</f>
        <v>10191</v>
      </c>
      <c r="G45" s="154">
        <f>SUM(G46:G50)</f>
        <v>10191</v>
      </c>
      <c r="H45" s="154">
        <f>SUM(H46:H50)</f>
        <v>0</v>
      </c>
    </row>
    <row r="46" spans="2:8" hidden="1" x14ac:dyDescent="0.2">
      <c r="C46" s="29"/>
      <c r="D46" s="155"/>
      <c r="E46" s="23" t="s">
        <v>116</v>
      </c>
      <c r="F46" s="156">
        <f t="shared" si="0"/>
        <v>0</v>
      </c>
      <c r="G46" s="157">
        <f>'ROI - JAN.'!F43</f>
        <v>0</v>
      </c>
      <c r="H46" s="154"/>
    </row>
    <row r="47" spans="2:8" s="161" customFormat="1" x14ac:dyDescent="0.2">
      <c r="B47" s="160"/>
      <c r="C47" s="29"/>
      <c r="D47" s="155"/>
      <c r="E47" s="23" t="s">
        <v>46</v>
      </c>
      <c r="F47" s="156">
        <f>SUM(G47:H47)</f>
        <v>191</v>
      </c>
      <c r="G47" s="157">
        <f>'ROI - MAY'!F47</f>
        <v>191</v>
      </c>
      <c r="H47" s="156"/>
    </row>
    <row r="48" spans="2:8" x14ac:dyDescent="0.2">
      <c r="C48" s="29"/>
      <c r="D48" s="33"/>
      <c r="E48" s="23" t="s">
        <v>231</v>
      </c>
      <c r="F48" s="156">
        <f>SUM(G48:H48)</f>
        <v>10000</v>
      </c>
      <c r="G48" s="157">
        <f>'ROI - MAY'!F48</f>
        <v>10000</v>
      </c>
      <c r="H48" s="156"/>
    </row>
    <row r="49" spans="3:8" hidden="1" x14ac:dyDescent="0.2">
      <c r="C49" s="29"/>
      <c r="D49" s="33"/>
      <c r="E49" s="23" t="s">
        <v>48</v>
      </c>
      <c r="F49" s="156">
        <f t="shared" si="0"/>
        <v>0</v>
      </c>
      <c r="G49" s="157">
        <f>'ROI - JAN.'!F46</f>
        <v>0</v>
      </c>
      <c r="H49" s="156"/>
    </row>
    <row r="50" spans="3:8" hidden="1" x14ac:dyDescent="0.2">
      <c r="C50" s="29"/>
      <c r="D50" s="158"/>
      <c r="E50" s="23" t="s">
        <v>49</v>
      </c>
      <c r="F50" s="156">
        <f t="shared" si="0"/>
        <v>0</v>
      </c>
      <c r="G50" s="157">
        <f>'ROI - JAN.'!F47</f>
        <v>0</v>
      </c>
      <c r="H50" s="156"/>
    </row>
    <row r="51" spans="3:8" x14ac:dyDescent="0.2">
      <c r="C51" s="29"/>
      <c r="D51" s="159" t="s">
        <v>50</v>
      </c>
      <c r="E51" s="23"/>
      <c r="F51" s="154">
        <f>SUM(F52:F54)</f>
        <v>94480</v>
      </c>
      <c r="G51" s="154">
        <f>SUM(G52:G54)</f>
        <v>81365</v>
      </c>
      <c r="H51" s="154">
        <f>SUM(H52:H54)</f>
        <v>13115</v>
      </c>
    </row>
    <row r="52" spans="3:8" hidden="1" x14ac:dyDescent="0.2">
      <c r="C52" s="29"/>
      <c r="D52" s="155"/>
      <c r="E52" s="23" t="s">
        <v>51</v>
      </c>
      <c r="F52" s="156">
        <f>H52+G52</f>
        <v>0</v>
      </c>
      <c r="G52" s="157">
        <f>'ROI - JAN.'!F49</f>
        <v>0</v>
      </c>
      <c r="H52" s="156"/>
    </row>
    <row r="53" spans="3:8" x14ac:dyDescent="0.2">
      <c r="C53" s="29"/>
      <c r="D53" s="33"/>
      <c r="E53" s="23" t="s">
        <v>205</v>
      </c>
      <c r="F53" s="156">
        <f>SUM(G53:H53)</f>
        <v>15000</v>
      </c>
      <c r="G53" s="157">
        <f>'ROI - MAY'!F53</f>
        <v>12300</v>
      </c>
      <c r="H53" s="156">
        <v>2700</v>
      </c>
    </row>
    <row r="54" spans="3:8" x14ac:dyDescent="0.2">
      <c r="C54" s="29"/>
      <c r="D54" s="158"/>
      <c r="E54" s="23" t="s">
        <v>52</v>
      </c>
      <c r="F54" s="156">
        <f>SUM(G54:H54)</f>
        <v>79480</v>
      </c>
      <c r="G54" s="157">
        <f>'ROI - MAY'!F54</f>
        <v>69065</v>
      </c>
      <c r="H54" s="156">
        <v>10415</v>
      </c>
    </row>
    <row r="55" spans="3:8" x14ac:dyDescent="0.2">
      <c r="C55" s="29"/>
      <c r="D55" s="159" t="s">
        <v>53</v>
      </c>
      <c r="E55" s="23"/>
      <c r="F55" s="154">
        <v>0</v>
      </c>
      <c r="G55" s="23"/>
      <c r="H55" s="154">
        <v>0</v>
      </c>
    </row>
    <row r="56" spans="3:8" x14ac:dyDescent="0.2">
      <c r="C56" s="162"/>
      <c r="D56" s="159" t="s">
        <v>57</v>
      </c>
      <c r="E56" s="23"/>
      <c r="F56" s="154">
        <v>0</v>
      </c>
      <c r="G56" s="23"/>
      <c r="H56" s="154">
        <v>0</v>
      </c>
    </row>
    <row r="57" spans="3:8" x14ac:dyDescent="0.2">
      <c r="C57" s="154" t="s">
        <v>11</v>
      </c>
      <c r="D57" s="159"/>
      <c r="E57" s="23"/>
      <c r="F57" s="156">
        <f>F12+F13+F29+F45+F51+F55+F56</f>
        <v>2524381</v>
      </c>
      <c r="G57" s="156">
        <f>G12+G13+G29+G45+G51+G55+G56</f>
        <v>2085136</v>
      </c>
      <c r="H57" s="156">
        <f>H12+H13+H29+H45+H51+H55+H56</f>
        <v>439245</v>
      </c>
    </row>
    <row r="58" spans="3:8" x14ac:dyDescent="0.2">
      <c r="C58" s="154" t="s">
        <v>12</v>
      </c>
      <c r="D58" s="159"/>
      <c r="E58" s="23"/>
      <c r="F58" s="156"/>
      <c r="G58" s="23"/>
      <c r="H58" s="156"/>
    </row>
    <row r="59" spans="3:8" hidden="1" x14ac:dyDescent="0.2">
      <c r="C59" s="153"/>
      <c r="D59" s="159" t="s">
        <v>7</v>
      </c>
      <c r="E59" s="23"/>
      <c r="F59" s="156">
        <v>0</v>
      </c>
      <c r="G59" s="23"/>
      <c r="H59" s="156">
        <v>0</v>
      </c>
    </row>
    <row r="60" spans="3:8" hidden="1" x14ac:dyDescent="0.2">
      <c r="C60" s="29"/>
      <c r="D60" s="159" t="s">
        <v>21</v>
      </c>
      <c r="E60" s="23"/>
      <c r="F60" s="156">
        <v>0</v>
      </c>
      <c r="G60" s="23"/>
      <c r="H60" s="156">
        <v>0</v>
      </c>
    </row>
    <row r="61" spans="3:8" hidden="1" x14ac:dyDescent="0.2">
      <c r="C61" s="29"/>
      <c r="D61" s="159" t="s">
        <v>35</v>
      </c>
      <c r="E61" s="23"/>
      <c r="F61" s="156">
        <v>0</v>
      </c>
      <c r="G61" s="23"/>
      <c r="H61" s="156">
        <v>0</v>
      </c>
    </row>
    <row r="62" spans="3:8" hidden="1" x14ac:dyDescent="0.2">
      <c r="C62" s="29"/>
      <c r="D62" s="159" t="s">
        <v>10</v>
      </c>
      <c r="E62" s="23"/>
      <c r="F62" s="156">
        <v>0</v>
      </c>
      <c r="G62" s="23"/>
      <c r="H62" s="156">
        <v>0</v>
      </c>
    </row>
    <row r="63" spans="3:8" hidden="1" x14ac:dyDescent="0.2">
      <c r="C63" s="29"/>
      <c r="D63" s="159" t="s">
        <v>50</v>
      </c>
      <c r="E63" s="23"/>
      <c r="F63" s="156">
        <v>0</v>
      </c>
      <c r="G63" s="23"/>
      <c r="H63" s="156">
        <v>0</v>
      </c>
    </row>
    <row r="64" spans="3:8" hidden="1" x14ac:dyDescent="0.2">
      <c r="C64" s="29"/>
      <c r="D64" s="159" t="s">
        <v>53</v>
      </c>
      <c r="E64" s="23"/>
      <c r="F64" s="156">
        <v>0</v>
      </c>
      <c r="G64" s="23"/>
      <c r="H64" s="156">
        <v>0</v>
      </c>
    </row>
    <row r="65" spans="2:9" hidden="1" x14ac:dyDescent="0.2">
      <c r="C65" s="162"/>
      <c r="D65" s="159" t="s">
        <v>57</v>
      </c>
      <c r="E65" s="23"/>
      <c r="F65" s="156">
        <v>0</v>
      </c>
      <c r="G65" s="23"/>
      <c r="H65" s="156">
        <v>0</v>
      </c>
    </row>
    <row r="66" spans="2:9" x14ac:dyDescent="0.2">
      <c r="C66" s="154" t="s">
        <v>13</v>
      </c>
      <c r="D66" s="159"/>
      <c r="E66" s="159"/>
      <c r="F66" s="154">
        <f>SUM(F59:F65)</f>
        <v>0</v>
      </c>
      <c r="G66" s="23"/>
      <c r="H66" s="154">
        <f>SUM(H59:H65)</f>
        <v>0</v>
      </c>
    </row>
    <row r="67" spans="2:9" x14ac:dyDescent="0.2">
      <c r="C67" s="163" t="s">
        <v>14</v>
      </c>
      <c r="D67" s="164"/>
      <c r="E67" s="165"/>
      <c r="F67" s="166">
        <f>F57+F66</f>
        <v>2524381</v>
      </c>
      <c r="G67" s="166">
        <f>G57+G66</f>
        <v>2085136</v>
      </c>
      <c r="H67" s="166">
        <f>H57+H66</f>
        <v>439245</v>
      </c>
    </row>
    <row r="68" spans="2:9" x14ac:dyDescent="0.2">
      <c r="C68" s="160"/>
      <c r="D68" s="161"/>
      <c r="F68" s="6"/>
    </row>
    <row r="69" spans="2:9" x14ac:dyDescent="0.2">
      <c r="E69" s="161" t="s">
        <v>15</v>
      </c>
      <c r="G69" s="167"/>
      <c r="I69" s="167"/>
    </row>
    <row r="70" spans="2:9" s="161" customFormat="1" x14ac:dyDescent="0.2">
      <c r="B70" s="160"/>
      <c r="C70" s="5"/>
      <c r="D70" s="5"/>
      <c r="E70" s="5"/>
      <c r="F70" s="5"/>
      <c r="G70" s="167"/>
      <c r="H70" s="5"/>
    </row>
    <row r="71" spans="2:9" x14ac:dyDescent="0.2">
      <c r="E71" s="161" t="s">
        <v>7</v>
      </c>
      <c r="G71" s="161"/>
      <c r="H71" s="177"/>
    </row>
    <row r="72" spans="2:9" x14ac:dyDescent="0.2">
      <c r="E72" s="5" t="s">
        <v>54</v>
      </c>
      <c r="F72" s="167">
        <f>F12</f>
        <v>0</v>
      </c>
      <c r="G72" s="167"/>
      <c r="H72" s="167"/>
    </row>
    <row r="73" spans="2:9" x14ac:dyDescent="0.2">
      <c r="E73" s="5" t="s">
        <v>55</v>
      </c>
      <c r="F73" s="167">
        <f>F59</f>
        <v>0</v>
      </c>
    </row>
    <row r="74" spans="2:9" x14ac:dyDescent="0.2">
      <c r="E74" s="168" t="s">
        <v>56</v>
      </c>
      <c r="F74" s="169">
        <f>F72+F73</f>
        <v>0</v>
      </c>
    </row>
    <row r="75" spans="2:9" x14ac:dyDescent="0.2">
      <c r="E75" s="161" t="s">
        <v>21</v>
      </c>
      <c r="H75" s="167"/>
    </row>
    <row r="76" spans="2:9" x14ac:dyDescent="0.2">
      <c r="E76" s="5" t="s">
        <v>54</v>
      </c>
      <c r="F76" s="167">
        <f>F13</f>
        <v>862340</v>
      </c>
    </row>
    <row r="77" spans="2:9" x14ac:dyDescent="0.2">
      <c r="E77" s="5" t="s">
        <v>55</v>
      </c>
      <c r="F77" s="167">
        <f>F60</f>
        <v>0</v>
      </c>
    </row>
    <row r="78" spans="2:9" x14ac:dyDescent="0.2">
      <c r="E78" s="168" t="s">
        <v>56</v>
      </c>
      <c r="F78" s="169">
        <f>F76+F77</f>
        <v>862340</v>
      </c>
    </row>
    <row r="79" spans="2:9" x14ac:dyDescent="0.2">
      <c r="E79" s="161" t="s">
        <v>58</v>
      </c>
    </row>
    <row r="80" spans="2:9" x14ac:dyDescent="0.2">
      <c r="E80" s="5" t="s">
        <v>54</v>
      </c>
      <c r="F80" s="167">
        <f>F29</f>
        <v>1557370</v>
      </c>
    </row>
    <row r="81" spans="5:6" x14ac:dyDescent="0.2">
      <c r="E81" s="5" t="s">
        <v>55</v>
      </c>
      <c r="F81" s="167">
        <f>F61</f>
        <v>0</v>
      </c>
    </row>
    <row r="82" spans="5:6" x14ac:dyDescent="0.2">
      <c r="E82" s="168" t="s">
        <v>56</v>
      </c>
      <c r="F82" s="169">
        <f>F80+F81</f>
        <v>1557370</v>
      </c>
    </row>
    <row r="83" spans="5:6" x14ac:dyDescent="0.2">
      <c r="E83" s="161" t="s">
        <v>10</v>
      </c>
    </row>
    <row r="84" spans="5:6" x14ac:dyDescent="0.2">
      <c r="E84" s="5" t="s">
        <v>54</v>
      </c>
      <c r="F84" s="167">
        <f>F45</f>
        <v>10191</v>
      </c>
    </row>
    <row r="85" spans="5:6" x14ac:dyDescent="0.2">
      <c r="E85" s="5" t="s">
        <v>55</v>
      </c>
      <c r="F85" s="167">
        <f>F62</f>
        <v>0</v>
      </c>
    </row>
    <row r="86" spans="5:6" x14ac:dyDescent="0.2">
      <c r="E86" s="168" t="s">
        <v>56</v>
      </c>
      <c r="F86" s="169">
        <f>F84+F85</f>
        <v>10191</v>
      </c>
    </row>
    <row r="87" spans="5:6" x14ac:dyDescent="0.2">
      <c r="E87" s="161" t="s">
        <v>50</v>
      </c>
    </row>
    <row r="88" spans="5:6" x14ac:dyDescent="0.2">
      <c r="E88" s="5" t="s">
        <v>54</v>
      </c>
      <c r="F88" s="167">
        <f>F51</f>
        <v>94480</v>
      </c>
    </row>
    <row r="89" spans="5:6" x14ac:dyDescent="0.2">
      <c r="E89" s="5" t="s">
        <v>55</v>
      </c>
      <c r="F89" s="167">
        <f>F63</f>
        <v>0</v>
      </c>
    </row>
    <row r="90" spans="5:6" x14ac:dyDescent="0.2">
      <c r="E90" s="168" t="s">
        <v>56</v>
      </c>
      <c r="F90" s="169">
        <f>F88+F89</f>
        <v>94480</v>
      </c>
    </row>
    <row r="91" spans="5:6" hidden="1" x14ac:dyDescent="0.2">
      <c r="E91" s="161" t="s">
        <v>53</v>
      </c>
    </row>
    <row r="92" spans="5:6" hidden="1" x14ac:dyDescent="0.2">
      <c r="E92" s="5" t="s">
        <v>54</v>
      </c>
      <c r="F92" s="167">
        <f>F55</f>
        <v>0</v>
      </c>
    </row>
    <row r="93" spans="5:6" hidden="1" x14ac:dyDescent="0.2">
      <c r="E93" s="5" t="s">
        <v>55</v>
      </c>
      <c r="F93" s="167">
        <f>F64</f>
        <v>0</v>
      </c>
    </row>
    <row r="94" spans="5:6" hidden="1" x14ac:dyDescent="0.2">
      <c r="E94" s="168" t="s">
        <v>56</v>
      </c>
      <c r="F94" s="169">
        <f>F92+F93</f>
        <v>0</v>
      </c>
    </row>
    <row r="95" spans="5:6" hidden="1" x14ac:dyDescent="0.2">
      <c r="E95" s="161" t="s">
        <v>57</v>
      </c>
    </row>
    <row r="96" spans="5:6" hidden="1" x14ac:dyDescent="0.2">
      <c r="E96" s="5" t="s">
        <v>54</v>
      </c>
      <c r="F96" s="167">
        <f>F56</f>
        <v>0</v>
      </c>
    </row>
    <row r="97" spans="3:8" hidden="1" x14ac:dyDescent="0.2">
      <c r="E97" s="5" t="s">
        <v>55</v>
      </c>
      <c r="F97" s="167">
        <f>F65</f>
        <v>0</v>
      </c>
    </row>
    <row r="98" spans="3:8" x14ac:dyDescent="0.2">
      <c r="E98" s="168" t="s">
        <v>56</v>
      </c>
      <c r="F98" s="169">
        <f>F96+F97</f>
        <v>0</v>
      </c>
    </row>
    <row r="99" spans="3:8" ht="13.5" thickBot="1" x14ac:dyDescent="0.25">
      <c r="E99" s="161" t="s">
        <v>59</v>
      </c>
      <c r="F99" s="170">
        <f>F74+F78+F82+F86+F90+F94+F98</f>
        <v>2524381</v>
      </c>
    </row>
    <row r="100" spans="3:8" ht="13.5" thickTop="1" x14ac:dyDescent="0.2"/>
    <row r="102" spans="3:8" x14ac:dyDescent="0.2">
      <c r="C102" s="195"/>
      <c r="D102" s="195"/>
      <c r="E102" s="195"/>
      <c r="F102" s="195" t="s">
        <v>17</v>
      </c>
      <c r="G102" s="195"/>
      <c r="H102" s="195"/>
    </row>
    <row r="103" spans="3:8" x14ac:dyDescent="0.2">
      <c r="C103" s="161"/>
      <c r="F103" s="195"/>
      <c r="G103" s="195"/>
      <c r="H103" s="195"/>
    </row>
    <row r="104" spans="3:8" x14ac:dyDescent="0.2">
      <c r="C104" s="194"/>
      <c r="D104" s="194"/>
      <c r="E104" s="194"/>
    </row>
    <row r="105" spans="3:8" x14ac:dyDescent="0.2">
      <c r="C105" s="195"/>
      <c r="D105" s="195"/>
      <c r="E105" s="195"/>
      <c r="F105" s="172"/>
      <c r="G105" s="172" t="s">
        <v>197</v>
      </c>
      <c r="H105" s="172"/>
    </row>
    <row r="106" spans="3:8" x14ac:dyDescent="0.2">
      <c r="F106" s="195" t="s">
        <v>198</v>
      </c>
      <c r="G106" s="195"/>
      <c r="H106" s="195"/>
    </row>
  </sheetData>
  <mergeCells count="15">
    <mergeCell ref="C6:H6"/>
    <mergeCell ref="C1:H1"/>
    <mergeCell ref="C2:H2"/>
    <mergeCell ref="C3:H3"/>
    <mergeCell ref="C4:H4"/>
    <mergeCell ref="C5:H5"/>
    <mergeCell ref="C104:E104"/>
    <mergeCell ref="C105:E105"/>
    <mergeCell ref="F106:H106"/>
    <mergeCell ref="C7:H7"/>
    <mergeCell ref="C8:H8"/>
    <mergeCell ref="C10:D10"/>
    <mergeCell ref="C102:E102"/>
    <mergeCell ref="F102:H102"/>
    <mergeCell ref="F103:H103"/>
  </mergeCells>
  <pageMargins left="0.5" right="0.25" top="0.25" bottom="0.25" header="0.3" footer="0.3"/>
  <pageSetup paperSize="155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6"/>
  <sheetViews>
    <sheetView topLeftCell="B1" workbookViewId="0">
      <pane xSplit="4" ySplit="12" topLeftCell="F87" activePane="bottomRight" state="frozen"/>
      <selection activeCell="B1" sqref="B1"/>
      <selection pane="topRight" activeCell="F1" sqref="F1"/>
      <selection pane="bottomLeft" activeCell="B13" sqref="B13"/>
      <selection pane="bottomRight" activeCell="L71" sqref="L71"/>
    </sheetView>
  </sheetViews>
  <sheetFormatPr defaultRowHeight="12.75" x14ac:dyDescent="0.2"/>
  <cols>
    <col min="1" max="1" width="18.140625" style="5" hidden="1" customWidth="1"/>
    <col min="2" max="2" width="3.28515625" style="6" customWidth="1"/>
    <col min="3" max="3" width="5.140625" style="5" customWidth="1"/>
    <col min="4" max="4" width="5.85546875" style="5" customWidth="1"/>
    <col min="5" max="5" width="47.42578125" style="5" customWidth="1"/>
    <col min="6" max="6" width="16.28515625" style="5" customWidth="1"/>
    <col min="7" max="7" width="14.85546875" style="5" customWidth="1"/>
    <col min="8" max="8" width="16.5703125" style="5" customWidth="1"/>
    <col min="9" max="9" width="9.85546875" style="5" bestFit="1" customWidth="1"/>
    <col min="10" max="16384" width="9.140625" style="5"/>
  </cols>
  <sheetData>
    <row r="1" spans="3:10" x14ac:dyDescent="0.2">
      <c r="C1" s="195" t="s">
        <v>0</v>
      </c>
      <c r="D1" s="195"/>
      <c r="E1" s="195"/>
      <c r="F1" s="195"/>
      <c r="G1" s="195"/>
      <c r="H1" s="195"/>
    </row>
    <row r="2" spans="3:10" x14ac:dyDescent="0.2">
      <c r="C2" s="195" t="s">
        <v>1</v>
      </c>
      <c r="D2" s="195"/>
      <c r="E2" s="195"/>
      <c r="F2" s="195"/>
      <c r="G2" s="195"/>
      <c r="H2" s="195"/>
    </row>
    <row r="3" spans="3:10" x14ac:dyDescent="0.2">
      <c r="C3" s="195"/>
      <c r="D3" s="195"/>
      <c r="E3" s="195"/>
      <c r="F3" s="195"/>
      <c r="G3" s="195"/>
      <c r="H3" s="195"/>
    </row>
    <row r="4" spans="3:10" x14ac:dyDescent="0.2">
      <c r="C4" s="194" t="s">
        <v>2</v>
      </c>
      <c r="D4" s="194"/>
      <c r="E4" s="194"/>
      <c r="F4" s="194"/>
      <c r="G4" s="194"/>
      <c r="H4" s="194"/>
    </row>
    <row r="5" spans="3:10" x14ac:dyDescent="0.2">
      <c r="C5" s="195" t="s">
        <v>207</v>
      </c>
      <c r="D5" s="195"/>
      <c r="E5" s="195"/>
      <c r="F5" s="195"/>
      <c r="G5" s="195"/>
      <c r="H5" s="195"/>
    </row>
    <row r="6" spans="3:10" x14ac:dyDescent="0.2">
      <c r="C6" s="195"/>
      <c r="D6" s="195"/>
      <c r="E6" s="195"/>
      <c r="F6" s="195"/>
      <c r="G6" s="195"/>
      <c r="H6" s="195"/>
    </row>
    <row r="7" spans="3:10" x14ac:dyDescent="0.2">
      <c r="C7" s="194" t="s">
        <v>209</v>
      </c>
      <c r="D7" s="194"/>
      <c r="E7" s="194"/>
      <c r="F7" s="194"/>
      <c r="G7" s="194"/>
      <c r="H7" s="194"/>
    </row>
    <row r="8" spans="3:10" x14ac:dyDescent="0.2">
      <c r="C8" s="195" t="s">
        <v>252</v>
      </c>
      <c r="D8" s="195"/>
      <c r="E8" s="195"/>
      <c r="F8" s="195"/>
      <c r="G8" s="195"/>
      <c r="H8" s="195"/>
    </row>
    <row r="10" spans="3:10" ht="38.25" x14ac:dyDescent="0.2">
      <c r="C10" s="196" t="s">
        <v>3</v>
      </c>
      <c r="D10" s="196"/>
      <c r="E10" s="178" t="s">
        <v>4</v>
      </c>
      <c r="F10" s="178" t="s">
        <v>254</v>
      </c>
      <c r="G10" s="178" t="s">
        <v>248</v>
      </c>
      <c r="H10" s="178" t="s">
        <v>253</v>
      </c>
      <c r="I10" s="148"/>
      <c r="J10" s="148"/>
    </row>
    <row r="11" spans="3:10" x14ac:dyDescent="0.2">
      <c r="C11" s="149" t="s">
        <v>6</v>
      </c>
      <c r="D11" s="150"/>
      <c r="E11" s="151"/>
      <c r="F11" s="152"/>
      <c r="G11" s="151"/>
      <c r="H11" s="151"/>
    </row>
    <row r="12" spans="3:10" x14ac:dyDescent="0.2">
      <c r="C12" s="153"/>
      <c r="D12" s="154" t="s">
        <v>7</v>
      </c>
      <c r="E12" s="23"/>
      <c r="F12" s="154">
        <v>0</v>
      </c>
      <c r="G12" s="23"/>
      <c r="H12" s="154">
        <v>0</v>
      </c>
    </row>
    <row r="13" spans="3:10" x14ac:dyDescent="0.2">
      <c r="C13" s="29"/>
      <c r="D13" s="154" t="s">
        <v>21</v>
      </c>
      <c r="E13" s="23"/>
      <c r="F13" s="154">
        <f>SUM(F14:F28)</f>
        <v>991340</v>
      </c>
      <c r="G13" s="154">
        <f>SUM(G14:G28)</f>
        <v>862340</v>
      </c>
      <c r="H13" s="154">
        <f>SUM(H14:H28)</f>
        <v>129000</v>
      </c>
      <c r="I13" s="167"/>
    </row>
    <row r="14" spans="3:10" x14ac:dyDescent="0.2">
      <c r="C14" s="29"/>
      <c r="D14" s="155"/>
      <c r="E14" s="171" t="s">
        <v>8</v>
      </c>
      <c r="F14" s="156">
        <f>SUM(G14:H14)</f>
        <v>27000</v>
      </c>
      <c r="G14" s="157">
        <f>'ROI - JUNE'!F14</f>
        <v>27000</v>
      </c>
      <c r="H14" s="156"/>
    </row>
    <row r="15" spans="3:10" hidden="1" x14ac:dyDescent="0.2">
      <c r="C15" s="29"/>
      <c r="D15" s="33"/>
      <c r="E15" s="171" t="s">
        <v>22</v>
      </c>
      <c r="F15" s="156">
        <f t="shared" ref="F15:F50" si="0">SUM(G15:H15)</f>
        <v>0</v>
      </c>
      <c r="G15" s="157">
        <f>'ROI - JAN.'!F15</f>
        <v>0</v>
      </c>
      <c r="H15" s="156"/>
    </row>
    <row r="16" spans="3:10" x14ac:dyDescent="0.2">
      <c r="C16" s="29"/>
      <c r="D16" s="33"/>
      <c r="E16" s="171" t="s">
        <v>23</v>
      </c>
      <c r="F16" s="156">
        <f>SUM(G16:H16)</f>
        <v>496570</v>
      </c>
      <c r="G16" s="157">
        <f>'ROI - JUNE'!F16</f>
        <v>424570</v>
      </c>
      <c r="H16" s="156">
        <v>72000</v>
      </c>
    </row>
    <row r="17" spans="3:9" hidden="1" x14ac:dyDescent="0.2">
      <c r="C17" s="29"/>
      <c r="D17" s="33"/>
      <c r="E17" s="171" t="s">
        <v>24</v>
      </c>
      <c r="F17" s="156">
        <f t="shared" si="0"/>
        <v>0</v>
      </c>
      <c r="G17" s="157">
        <f>'ROI - MAR'!F17</f>
        <v>0</v>
      </c>
      <c r="H17" s="156"/>
    </row>
    <row r="18" spans="3:9" x14ac:dyDescent="0.2">
      <c r="C18" s="29"/>
      <c r="D18" s="33"/>
      <c r="E18" s="171" t="s">
        <v>25</v>
      </c>
      <c r="F18" s="156">
        <f t="shared" si="0"/>
        <v>10000</v>
      </c>
      <c r="G18" s="157">
        <f>'ROI - JUNE'!F18</f>
        <v>10000</v>
      </c>
      <c r="H18" s="156"/>
    </row>
    <row r="19" spans="3:9" hidden="1" x14ac:dyDescent="0.2">
      <c r="C19" s="29"/>
      <c r="D19" s="33"/>
      <c r="E19" s="171" t="s">
        <v>26</v>
      </c>
      <c r="F19" s="156">
        <f t="shared" si="0"/>
        <v>0</v>
      </c>
      <c r="G19" s="157">
        <f>'ROI - JUNE'!F19</f>
        <v>0</v>
      </c>
      <c r="H19" s="156"/>
    </row>
    <row r="20" spans="3:9" x14ac:dyDescent="0.2">
      <c r="C20" s="29"/>
      <c r="D20" s="33"/>
      <c r="E20" s="171" t="s">
        <v>27</v>
      </c>
      <c r="F20" s="156">
        <f t="shared" si="0"/>
        <v>80000</v>
      </c>
      <c r="G20" s="157">
        <f>'ROI - JUNE'!F20</f>
        <v>80000</v>
      </c>
      <c r="H20" s="156"/>
    </row>
    <row r="21" spans="3:9" x14ac:dyDescent="0.2">
      <c r="C21" s="29"/>
      <c r="D21" s="33"/>
      <c r="E21" s="171" t="s">
        <v>225</v>
      </c>
      <c r="F21" s="156">
        <f>SUM(G21:H21)</f>
        <v>141000</v>
      </c>
      <c r="G21" s="157">
        <f>'ROI - JUNE'!F21</f>
        <v>122000</v>
      </c>
      <c r="H21" s="156">
        <v>19000</v>
      </c>
    </row>
    <row r="22" spans="3:9" hidden="1" x14ac:dyDescent="0.2">
      <c r="C22" s="29"/>
      <c r="D22" s="33"/>
      <c r="E22" s="171" t="s">
        <v>30</v>
      </c>
      <c r="F22" s="156">
        <f t="shared" si="0"/>
        <v>0</v>
      </c>
      <c r="G22" s="157">
        <f>'ROI - JUNE'!F22</f>
        <v>0</v>
      </c>
      <c r="H22" s="156"/>
    </row>
    <row r="23" spans="3:9" x14ac:dyDescent="0.2">
      <c r="C23" s="29"/>
      <c r="D23" s="33"/>
      <c r="E23" s="171" t="s">
        <v>31</v>
      </c>
      <c r="F23" s="156">
        <f>SUM(G23:H23)</f>
        <v>182400</v>
      </c>
      <c r="G23" s="157">
        <f>'ROI - JUNE'!F23</f>
        <v>149600</v>
      </c>
      <c r="H23" s="156">
        <v>32800</v>
      </c>
    </row>
    <row r="24" spans="3:9" hidden="1" x14ac:dyDescent="0.2">
      <c r="C24" s="29"/>
      <c r="D24" s="33"/>
      <c r="E24" s="171" t="s">
        <v>32</v>
      </c>
      <c r="F24" s="156">
        <f t="shared" si="0"/>
        <v>0</v>
      </c>
      <c r="G24" s="157">
        <f>'ROI - JUNE'!F24</f>
        <v>0</v>
      </c>
      <c r="H24" s="156"/>
    </row>
    <row r="25" spans="3:9" hidden="1" x14ac:dyDescent="0.2">
      <c r="C25" s="29"/>
      <c r="D25" s="33"/>
      <c r="E25" s="171" t="s">
        <v>33</v>
      </c>
      <c r="F25" s="156">
        <f t="shared" si="0"/>
        <v>0</v>
      </c>
      <c r="G25" s="157">
        <f>'ROI - JUNE'!F25</f>
        <v>0</v>
      </c>
      <c r="H25" s="156"/>
    </row>
    <row r="26" spans="3:9" x14ac:dyDescent="0.2">
      <c r="C26" s="29"/>
      <c r="D26" s="33"/>
      <c r="E26" s="171" t="s">
        <v>194</v>
      </c>
      <c r="F26" s="156">
        <f>SUM(G26:H26)</f>
        <v>31270</v>
      </c>
      <c r="G26" s="157">
        <f>'ROI - JUNE'!F26</f>
        <v>26670</v>
      </c>
      <c r="H26" s="156">
        <v>4600</v>
      </c>
    </row>
    <row r="27" spans="3:9" x14ac:dyDescent="0.2">
      <c r="C27" s="29"/>
      <c r="D27" s="158"/>
      <c r="E27" s="171" t="s">
        <v>34</v>
      </c>
      <c r="F27" s="156">
        <f t="shared" si="0"/>
        <v>0</v>
      </c>
      <c r="G27" s="157">
        <f>'ROI - JUNE'!F27</f>
        <v>0</v>
      </c>
      <c r="H27" s="156">
        <v>0</v>
      </c>
    </row>
    <row r="28" spans="3:9" x14ac:dyDescent="0.2">
      <c r="C28" s="29"/>
      <c r="D28" s="158"/>
      <c r="E28" s="171" t="s">
        <v>214</v>
      </c>
      <c r="F28" s="156">
        <f>SUM(G28:H28)</f>
        <v>23100</v>
      </c>
      <c r="G28" s="157">
        <f>'ROI - JUNE'!F28</f>
        <v>22500</v>
      </c>
      <c r="H28" s="156">
        <v>600</v>
      </c>
    </row>
    <row r="29" spans="3:9" x14ac:dyDescent="0.2">
      <c r="C29" s="29"/>
      <c r="D29" s="159" t="s">
        <v>35</v>
      </c>
      <c r="E29" s="171"/>
      <c r="F29" s="154">
        <f>SUM(F30:F44)</f>
        <v>1808570</v>
      </c>
      <c r="G29" s="154">
        <f>SUM(G30:G44)</f>
        <v>1557370</v>
      </c>
      <c r="H29" s="154">
        <f>SUM(H30:H44)</f>
        <v>251200</v>
      </c>
      <c r="I29" s="167"/>
    </row>
    <row r="30" spans="3:9" hidden="1" x14ac:dyDescent="0.2">
      <c r="C30" s="29"/>
      <c r="D30" s="155"/>
      <c r="E30" s="171" t="s">
        <v>36</v>
      </c>
      <c r="F30" s="156">
        <f t="shared" si="0"/>
        <v>0</v>
      </c>
      <c r="G30" s="157">
        <f>'ROI - JAN.'!F30</f>
        <v>0</v>
      </c>
      <c r="H30" s="156"/>
    </row>
    <row r="31" spans="3:9" hidden="1" x14ac:dyDescent="0.2">
      <c r="C31" s="29"/>
      <c r="D31" s="33"/>
      <c r="E31" s="171" t="s">
        <v>37</v>
      </c>
      <c r="F31" s="156">
        <f t="shared" si="0"/>
        <v>0</v>
      </c>
      <c r="G31" s="157">
        <f>'ROI - JAN.'!F31</f>
        <v>0</v>
      </c>
      <c r="H31" s="156"/>
    </row>
    <row r="32" spans="3:9" hidden="1" x14ac:dyDescent="0.2">
      <c r="C32" s="29"/>
      <c r="D32" s="33"/>
      <c r="E32" s="171" t="s">
        <v>38</v>
      </c>
      <c r="F32" s="156">
        <f t="shared" si="0"/>
        <v>0</v>
      </c>
      <c r="G32" s="157">
        <f>'ROI - JAN.'!F32</f>
        <v>0</v>
      </c>
      <c r="H32" s="156"/>
    </row>
    <row r="33" spans="2:8" hidden="1" x14ac:dyDescent="0.2">
      <c r="C33" s="29"/>
      <c r="D33" s="33"/>
      <c r="E33" s="171" t="s">
        <v>39</v>
      </c>
      <c r="F33" s="156">
        <f t="shared" si="0"/>
        <v>0</v>
      </c>
      <c r="G33" s="157">
        <f>'ROI - MAR'!F33</f>
        <v>0</v>
      </c>
      <c r="H33" s="156"/>
    </row>
    <row r="34" spans="2:8" x14ac:dyDescent="0.2">
      <c r="C34" s="29"/>
      <c r="D34" s="33"/>
      <c r="E34" s="171" t="s">
        <v>40</v>
      </c>
      <c r="F34" s="156">
        <f>SUM(G34:H34)</f>
        <v>81000</v>
      </c>
      <c r="G34" s="157">
        <f>'ROI - JUNE'!F34</f>
        <v>61000</v>
      </c>
      <c r="H34" s="156">
        <v>20000</v>
      </c>
    </row>
    <row r="35" spans="2:8" x14ac:dyDescent="0.2">
      <c r="C35" s="29"/>
      <c r="D35" s="33"/>
      <c r="E35" s="171" t="s">
        <v>41</v>
      </c>
      <c r="F35" s="156">
        <f>SUM(G35:H35)</f>
        <v>154000</v>
      </c>
      <c r="G35" s="157">
        <f>'ROI - JUNE'!F35</f>
        <v>124000</v>
      </c>
      <c r="H35" s="156">
        <v>30000</v>
      </c>
    </row>
    <row r="36" spans="2:8" s="161" customFormat="1" x14ac:dyDescent="0.2">
      <c r="B36" s="160"/>
      <c r="C36" s="29"/>
      <c r="D36" s="33"/>
      <c r="E36" s="171" t="s">
        <v>42</v>
      </c>
      <c r="F36" s="156">
        <f t="shared" si="0"/>
        <v>6000</v>
      </c>
      <c r="G36" s="157">
        <f>'ROI - JUNE'!F36</f>
        <v>0</v>
      </c>
      <c r="H36" s="156">
        <v>6000</v>
      </c>
    </row>
    <row r="37" spans="2:8" x14ac:dyDescent="0.2">
      <c r="C37" s="29"/>
      <c r="D37" s="33"/>
      <c r="E37" s="171" t="s">
        <v>43</v>
      </c>
      <c r="F37" s="156">
        <f t="shared" si="0"/>
        <v>0</v>
      </c>
      <c r="G37" s="157">
        <f>'ROI - JUNE'!F37</f>
        <v>0</v>
      </c>
      <c r="H37" s="156"/>
    </row>
    <row r="38" spans="2:8" x14ac:dyDescent="0.2">
      <c r="C38" s="29"/>
      <c r="D38" s="33"/>
      <c r="E38" s="171" t="s">
        <v>44</v>
      </c>
      <c r="F38" s="156">
        <f t="shared" si="0"/>
        <v>6000</v>
      </c>
      <c r="G38" s="157">
        <f>'ROI - JUNE'!F38</f>
        <v>6000</v>
      </c>
      <c r="H38" s="156"/>
    </row>
    <row r="39" spans="2:8" ht="12" customHeight="1" x14ac:dyDescent="0.2">
      <c r="C39" s="29"/>
      <c r="D39" s="33"/>
      <c r="E39" s="171" t="s">
        <v>45</v>
      </c>
      <c r="F39" s="156">
        <f t="shared" si="0"/>
        <v>255030</v>
      </c>
      <c r="G39" s="157">
        <f>'ROI - JUNE'!F39</f>
        <v>219030</v>
      </c>
      <c r="H39" s="156">
        <v>36000</v>
      </c>
    </row>
    <row r="40" spans="2:8" x14ac:dyDescent="0.2">
      <c r="C40" s="29"/>
      <c r="D40" s="158"/>
      <c r="E40" s="171" t="s">
        <v>199</v>
      </c>
      <c r="F40" s="156">
        <f t="shared" si="0"/>
        <v>147100</v>
      </c>
      <c r="G40" s="157">
        <f>'ROI - JUNE'!F40</f>
        <v>125900</v>
      </c>
      <c r="H40" s="156">
        <v>21200</v>
      </c>
    </row>
    <row r="41" spans="2:8" x14ac:dyDescent="0.2">
      <c r="C41" s="29"/>
      <c r="D41" s="158"/>
      <c r="E41" s="171" t="s">
        <v>213</v>
      </c>
      <c r="F41" s="156">
        <f t="shared" si="0"/>
        <v>1063440</v>
      </c>
      <c r="G41" s="157">
        <f>'ROI - JUNE'!F41</f>
        <v>925440</v>
      </c>
      <c r="H41" s="156">
        <v>138000</v>
      </c>
    </row>
    <row r="42" spans="2:8" x14ac:dyDescent="0.2">
      <c r="C42" s="29"/>
      <c r="D42" s="158"/>
      <c r="E42" s="171" t="s">
        <v>220</v>
      </c>
      <c r="F42" s="156">
        <f t="shared" si="0"/>
        <v>24000</v>
      </c>
      <c r="G42" s="157">
        <f>'ROI - JUNE'!F42</f>
        <v>24000</v>
      </c>
      <c r="H42" s="156"/>
    </row>
    <row r="43" spans="2:8" x14ac:dyDescent="0.2">
      <c r="C43" s="29"/>
      <c r="D43" s="158"/>
      <c r="E43" s="171" t="s">
        <v>224</v>
      </c>
      <c r="F43" s="156">
        <f t="shared" si="0"/>
        <v>66000</v>
      </c>
      <c r="G43" s="157">
        <f>'ROI - JUNE'!F43</f>
        <v>66000</v>
      </c>
      <c r="H43" s="156"/>
    </row>
    <row r="44" spans="2:8" x14ac:dyDescent="0.2">
      <c r="C44" s="29"/>
      <c r="D44" s="158"/>
      <c r="E44" s="171" t="s">
        <v>246</v>
      </c>
      <c r="F44" s="156">
        <f t="shared" si="0"/>
        <v>6000</v>
      </c>
      <c r="G44" s="157">
        <f>'ROI - JUNE'!F44</f>
        <v>6000</v>
      </c>
      <c r="H44" s="156"/>
    </row>
    <row r="45" spans="2:8" x14ac:dyDescent="0.2">
      <c r="C45" s="29"/>
      <c r="D45" s="159" t="s">
        <v>10</v>
      </c>
      <c r="E45" s="23"/>
      <c r="F45" s="154">
        <f>SUM(F46:F50)</f>
        <v>10325</v>
      </c>
      <c r="G45" s="154">
        <f>SUM(G46:G50)</f>
        <v>10191</v>
      </c>
      <c r="H45" s="154">
        <f>SUM(H46:H50)</f>
        <v>134</v>
      </c>
    </row>
    <row r="46" spans="2:8" hidden="1" x14ac:dyDescent="0.2">
      <c r="C46" s="29"/>
      <c r="D46" s="155"/>
      <c r="E46" s="23" t="s">
        <v>116</v>
      </c>
      <c r="F46" s="156">
        <f t="shared" si="0"/>
        <v>0</v>
      </c>
      <c r="G46" s="157">
        <f>'ROI - JAN.'!F43</f>
        <v>0</v>
      </c>
      <c r="H46" s="154"/>
    </row>
    <row r="47" spans="2:8" s="161" customFormat="1" x14ac:dyDescent="0.2">
      <c r="B47" s="160"/>
      <c r="C47" s="29"/>
      <c r="D47" s="155"/>
      <c r="E47" s="23" t="s">
        <v>46</v>
      </c>
      <c r="F47" s="156">
        <f>SUM(G47:H47)</f>
        <v>325</v>
      </c>
      <c r="G47" s="157">
        <f>'ROI - JUNE'!F47</f>
        <v>191</v>
      </c>
      <c r="H47" s="156">
        <v>134</v>
      </c>
    </row>
    <row r="48" spans="2:8" x14ac:dyDescent="0.2">
      <c r="C48" s="29"/>
      <c r="D48" s="33"/>
      <c r="E48" s="23" t="s">
        <v>231</v>
      </c>
      <c r="F48" s="156">
        <f>SUM(G48:H48)</f>
        <v>10000</v>
      </c>
      <c r="G48" s="157">
        <f>'ROI - JUNE'!F48</f>
        <v>10000</v>
      </c>
      <c r="H48" s="156"/>
    </row>
    <row r="49" spans="3:8" hidden="1" x14ac:dyDescent="0.2">
      <c r="C49" s="29"/>
      <c r="D49" s="33"/>
      <c r="E49" s="23" t="s">
        <v>48</v>
      </c>
      <c r="F49" s="156">
        <f t="shared" si="0"/>
        <v>0</v>
      </c>
      <c r="G49" s="157">
        <f>'ROI - JAN.'!F46</f>
        <v>0</v>
      </c>
      <c r="H49" s="156"/>
    </row>
    <row r="50" spans="3:8" hidden="1" x14ac:dyDescent="0.2">
      <c r="C50" s="29"/>
      <c r="D50" s="158"/>
      <c r="E50" s="23" t="s">
        <v>49</v>
      </c>
      <c r="F50" s="156">
        <f t="shared" si="0"/>
        <v>0</v>
      </c>
      <c r="G50" s="157">
        <f>'ROI - JAN.'!F47</f>
        <v>0</v>
      </c>
      <c r="H50" s="156"/>
    </row>
    <row r="51" spans="3:8" x14ac:dyDescent="0.2">
      <c r="C51" s="29"/>
      <c r="D51" s="159" t="s">
        <v>50</v>
      </c>
      <c r="E51" s="23"/>
      <c r="F51" s="154">
        <f>SUM(F52:F54)</f>
        <v>124115</v>
      </c>
      <c r="G51" s="154">
        <f>SUM(G52:G54)</f>
        <v>94480</v>
      </c>
      <c r="H51" s="154">
        <f>SUM(H52:H54)</f>
        <v>29635</v>
      </c>
    </row>
    <row r="52" spans="3:8" hidden="1" x14ac:dyDescent="0.2">
      <c r="C52" s="29"/>
      <c r="D52" s="155"/>
      <c r="E52" s="23" t="s">
        <v>51</v>
      </c>
      <c r="F52" s="156">
        <f>H52+G52</f>
        <v>0</v>
      </c>
      <c r="G52" s="157">
        <f>'ROI - JAN.'!F49</f>
        <v>0</v>
      </c>
      <c r="H52" s="156"/>
    </row>
    <row r="53" spans="3:8" x14ac:dyDescent="0.2">
      <c r="C53" s="29"/>
      <c r="D53" s="33"/>
      <c r="E53" s="23" t="s">
        <v>205</v>
      </c>
      <c r="F53" s="156">
        <f>SUM(G53:H53)</f>
        <v>18000</v>
      </c>
      <c r="G53" s="157">
        <f>'ROI - JUNE'!F53</f>
        <v>15000</v>
      </c>
      <c r="H53" s="156">
        <v>3000</v>
      </c>
    </row>
    <row r="54" spans="3:8" x14ac:dyDescent="0.2">
      <c r="C54" s="29"/>
      <c r="D54" s="158"/>
      <c r="E54" s="23" t="s">
        <v>52</v>
      </c>
      <c r="F54" s="156">
        <f>SUM(G54:H54)</f>
        <v>106115</v>
      </c>
      <c r="G54" s="157">
        <f>'ROI - JUNE'!F54</f>
        <v>79480</v>
      </c>
      <c r="H54" s="156">
        <v>26635</v>
      </c>
    </row>
    <row r="55" spans="3:8" x14ac:dyDescent="0.2">
      <c r="C55" s="29"/>
      <c r="D55" s="159" t="s">
        <v>53</v>
      </c>
      <c r="E55" s="23"/>
      <c r="F55" s="154">
        <v>0</v>
      </c>
      <c r="G55" s="23"/>
      <c r="H55" s="154">
        <v>0</v>
      </c>
    </row>
    <row r="56" spans="3:8" x14ac:dyDescent="0.2">
      <c r="C56" s="162"/>
      <c r="D56" s="159" t="s">
        <v>57</v>
      </c>
      <c r="E56" s="23"/>
      <c r="F56" s="154">
        <v>0</v>
      </c>
      <c r="G56" s="23"/>
      <c r="H56" s="154">
        <v>0</v>
      </c>
    </row>
    <row r="57" spans="3:8" x14ac:dyDescent="0.2">
      <c r="C57" s="154" t="s">
        <v>11</v>
      </c>
      <c r="D57" s="159"/>
      <c r="E57" s="23"/>
      <c r="F57" s="156">
        <f>F12+F13+F29+F45+F51+F55+F56</f>
        <v>2934350</v>
      </c>
      <c r="G57" s="156">
        <f>G12+G13+G29+G45+G51+G55+G56</f>
        <v>2524381</v>
      </c>
      <c r="H57" s="156">
        <f>H12+H13+H29+H45+H51+H55+H56</f>
        <v>409969</v>
      </c>
    </row>
    <row r="58" spans="3:8" x14ac:dyDescent="0.2">
      <c r="C58" s="154" t="s">
        <v>12</v>
      </c>
      <c r="D58" s="159"/>
      <c r="E58" s="23"/>
      <c r="F58" s="156"/>
      <c r="G58" s="23"/>
      <c r="H58" s="156"/>
    </row>
    <row r="59" spans="3:8" hidden="1" x14ac:dyDescent="0.2">
      <c r="C59" s="153"/>
      <c r="D59" s="159" t="s">
        <v>7</v>
      </c>
      <c r="E59" s="23"/>
      <c r="F59" s="156">
        <v>0</v>
      </c>
      <c r="G59" s="23"/>
      <c r="H59" s="156">
        <v>0</v>
      </c>
    </row>
    <row r="60" spans="3:8" hidden="1" x14ac:dyDescent="0.2">
      <c r="C60" s="29"/>
      <c r="D60" s="159" t="s">
        <v>21</v>
      </c>
      <c r="E60" s="23"/>
      <c r="F60" s="156">
        <v>0</v>
      </c>
      <c r="G60" s="23"/>
      <c r="H60" s="156">
        <v>0</v>
      </c>
    </row>
    <row r="61" spans="3:8" hidden="1" x14ac:dyDescent="0.2">
      <c r="C61" s="29"/>
      <c r="D61" s="159" t="s">
        <v>35</v>
      </c>
      <c r="E61" s="23"/>
      <c r="F61" s="156">
        <v>0</v>
      </c>
      <c r="G61" s="23"/>
      <c r="H61" s="156">
        <v>0</v>
      </c>
    </row>
    <row r="62" spans="3:8" hidden="1" x14ac:dyDescent="0.2">
      <c r="C62" s="29"/>
      <c r="D62" s="159" t="s">
        <v>10</v>
      </c>
      <c r="E62" s="23"/>
      <c r="F62" s="156">
        <v>0</v>
      </c>
      <c r="G62" s="23"/>
      <c r="H62" s="156">
        <v>0</v>
      </c>
    </row>
    <row r="63" spans="3:8" hidden="1" x14ac:dyDescent="0.2">
      <c r="C63" s="29"/>
      <c r="D63" s="159" t="s">
        <v>50</v>
      </c>
      <c r="E63" s="23"/>
      <c r="F63" s="156">
        <v>0</v>
      </c>
      <c r="G63" s="23"/>
      <c r="H63" s="156">
        <v>0</v>
      </c>
    </row>
    <row r="64" spans="3:8" hidden="1" x14ac:dyDescent="0.2">
      <c r="C64" s="29"/>
      <c r="D64" s="159" t="s">
        <v>53</v>
      </c>
      <c r="E64" s="23"/>
      <c r="F64" s="156">
        <v>0</v>
      </c>
      <c r="G64" s="23"/>
      <c r="H64" s="156">
        <v>0</v>
      </c>
    </row>
    <row r="65" spans="2:9" hidden="1" x14ac:dyDescent="0.2">
      <c r="C65" s="162"/>
      <c r="D65" s="159" t="s">
        <v>57</v>
      </c>
      <c r="E65" s="23"/>
      <c r="F65" s="156">
        <v>0</v>
      </c>
      <c r="G65" s="23"/>
      <c r="H65" s="156">
        <v>0</v>
      </c>
    </row>
    <row r="66" spans="2:9" x14ac:dyDescent="0.2">
      <c r="C66" s="154" t="s">
        <v>13</v>
      </c>
      <c r="D66" s="159"/>
      <c r="E66" s="159"/>
      <c r="F66" s="154">
        <f>SUM(F59:F65)</f>
        <v>0</v>
      </c>
      <c r="G66" s="23"/>
      <c r="H66" s="154">
        <f>SUM(H59:H65)</f>
        <v>0</v>
      </c>
    </row>
    <row r="67" spans="2:9" x14ac:dyDescent="0.2">
      <c r="C67" s="163" t="s">
        <v>14</v>
      </c>
      <c r="D67" s="164"/>
      <c r="E67" s="165"/>
      <c r="F67" s="166">
        <f>F57+F66</f>
        <v>2934350</v>
      </c>
      <c r="G67" s="166">
        <f>G57+G66</f>
        <v>2524381</v>
      </c>
      <c r="H67" s="166">
        <f>H57+H66</f>
        <v>409969</v>
      </c>
    </row>
    <row r="68" spans="2:9" x14ac:dyDescent="0.2">
      <c r="C68" s="160"/>
      <c r="D68" s="161"/>
      <c r="F68" s="6"/>
    </row>
    <row r="69" spans="2:9" x14ac:dyDescent="0.2">
      <c r="E69" s="161" t="s">
        <v>15</v>
      </c>
      <c r="G69" s="167"/>
      <c r="I69" s="167"/>
    </row>
    <row r="70" spans="2:9" s="161" customFormat="1" x14ac:dyDescent="0.2">
      <c r="B70" s="160"/>
      <c r="C70" s="5"/>
      <c r="D70" s="5"/>
      <c r="E70" s="5"/>
      <c r="F70" s="5"/>
      <c r="G70" s="167"/>
      <c r="H70" s="167"/>
    </row>
    <row r="71" spans="2:9" x14ac:dyDescent="0.2">
      <c r="E71" s="161" t="s">
        <v>7</v>
      </c>
      <c r="G71" s="161"/>
      <c r="H71" s="177"/>
    </row>
    <row r="72" spans="2:9" x14ac:dyDescent="0.2">
      <c r="E72" s="5" t="s">
        <v>54</v>
      </c>
      <c r="F72" s="167">
        <f>F12</f>
        <v>0</v>
      </c>
      <c r="G72" s="167"/>
      <c r="H72" s="167"/>
    </row>
    <row r="73" spans="2:9" x14ac:dyDescent="0.2">
      <c r="E73" s="5" t="s">
        <v>55</v>
      </c>
      <c r="F73" s="167">
        <f>F59</f>
        <v>0</v>
      </c>
    </row>
    <row r="74" spans="2:9" x14ac:dyDescent="0.2">
      <c r="E74" s="168" t="s">
        <v>56</v>
      </c>
      <c r="F74" s="169">
        <f>F72+F73</f>
        <v>0</v>
      </c>
    </row>
    <row r="75" spans="2:9" x14ac:dyDescent="0.2">
      <c r="E75" s="161" t="s">
        <v>21</v>
      </c>
      <c r="H75" s="167"/>
    </row>
    <row r="76" spans="2:9" x14ac:dyDescent="0.2">
      <c r="E76" s="5" t="s">
        <v>54</v>
      </c>
      <c r="F76" s="167">
        <f>F13</f>
        <v>991340</v>
      </c>
    </row>
    <row r="77" spans="2:9" x14ac:dyDescent="0.2">
      <c r="E77" s="5" t="s">
        <v>55</v>
      </c>
      <c r="F77" s="167">
        <f>F60</f>
        <v>0</v>
      </c>
    </row>
    <row r="78" spans="2:9" x14ac:dyDescent="0.2">
      <c r="E78" s="168" t="s">
        <v>56</v>
      </c>
      <c r="F78" s="169">
        <f>F76+F77</f>
        <v>991340</v>
      </c>
    </row>
    <row r="79" spans="2:9" x14ac:dyDescent="0.2">
      <c r="E79" s="161" t="s">
        <v>58</v>
      </c>
    </row>
    <row r="80" spans="2:9" x14ac:dyDescent="0.2">
      <c r="E80" s="5" t="s">
        <v>54</v>
      </c>
      <c r="F80" s="167">
        <f>F29</f>
        <v>1808570</v>
      </c>
    </row>
    <row r="81" spans="5:6" x14ac:dyDescent="0.2">
      <c r="E81" s="5" t="s">
        <v>55</v>
      </c>
      <c r="F81" s="167">
        <f>F61</f>
        <v>0</v>
      </c>
    </row>
    <row r="82" spans="5:6" x14ac:dyDescent="0.2">
      <c r="E82" s="168" t="s">
        <v>56</v>
      </c>
      <c r="F82" s="169">
        <f>F80+F81</f>
        <v>1808570</v>
      </c>
    </row>
    <row r="83" spans="5:6" x14ac:dyDescent="0.2">
      <c r="E83" s="161" t="s">
        <v>10</v>
      </c>
    </row>
    <row r="84" spans="5:6" x14ac:dyDescent="0.2">
      <c r="E84" s="5" t="s">
        <v>54</v>
      </c>
      <c r="F84" s="167">
        <f>F45</f>
        <v>10325</v>
      </c>
    </row>
    <row r="85" spans="5:6" x14ac:dyDescent="0.2">
      <c r="E85" s="5" t="s">
        <v>55</v>
      </c>
      <c r="F85" s="167">
        <f>F62</f>
        <v>0</v>
      </c>
    </row>
    <row r="86" spans="5:6" x14ac:dyDescent="0.2">
      <c r="E86" s="168" t="s">
        <v>56</v>
      </c>
      <c r="F86" s="169">
        <f>F84+F85</f>
        <v>10325</v>
      </c>
    </row>
    <row r="87" spans="5:6" x14ac:dyDescent="0.2">
      <c r="E87" s="161" t="s">
        <v>50</v>
      </c>
    </row>
    <row r="88" spans="5:6" x14ac:dyDescent="0.2">
      <c r="E88" s="5" t="s">
        <v>54</v>
      </c>
      <c r="F88" s="167">
        <f>F51</f>
        <v>124115</v>
      </c>
    </row>
    <row r="89" spans="5:6" x14ac:dyDescent="0.2">
      <c r="E89" s="5" t="s">
        <v>55</v>
      </c>
      <c r="F89" s="167">
        <f>F63</f>
        <v>0</v>
      </c>
    </row>
    <row r="90" spans="5:6" x14ac:dyDescent="0.2">
      <c r="E90" s="168" t="s">
        <v>56</v>
      </c>
      <c r="F90" s="169">
        <f>F88+F89</f>
        <v>124115</v>
      </c>
    </row>
    <row r="91" spans="5:6" hidden="1" x14ac:dyDescent="0.2">
      <c r="E91" s="161" t="s">
        <v>53</v>
      </c>
    </row>
    <row r="92" spans="5:6" hidden="1" x14ac:dyDescent="0.2">
      <c r="E92" s="5" t="s">
        <v>54</v>
      </c>
      <c r="F92" s="167">
        <f>F55</f>
        <v>0</v>
      </c>
    </row>
    <row r="93" spans="5:6" hidden="1" x14ac:dyDescent="0.2">
      <c r="E93" s="5" t="s">
        <v>55</v>
      </c>
      <c r="F93" s="167">
        <f>F64</f>
        <v>0</v>
      </c>
    </row>
    <row r="94" spans="5:6" hidden="1" x14ac:dyDescent="0.2">
      <c r="E94" s="168" t="s">
        <v>56</v>
      </c>
      <c r="F94" s="169">
        <f>F92+F93</f>
        <v>0</v>
      </c>
    </row>
    <row r="95" spans="5:6" hidden="1" x14ac:dyDescent="0.2">
      <c r="E95" s="161" t="s">
        <v>57</v>
      </c>
    </row>
    <row r="96" spans="5:6" hidden="1" x14ac:dyDescent="0.2">
      <c r="E96" s="5" t="s">
        <v>54</v>
      </c>
      <c r="F96" s="167">
        <f>F56</f>
        <v>0</v>
      </c>
    </row>
    <row r="97" spans="3:8" hidden="1" x14ac:dyDescent="0.2">
      <c r="E97" s="5" t="s">
        <v>55</v>
      </c>
      <c r="F97" s="167">
        <f>F65</f>
        <v>0</v>
      </c>
    </row>
    <row r="98" spans="3:8" x14ac:dyDescent="0.2">
      <c r="E98" s="168" t="s">
        <v>56</v>
      </c>
      <c r="F98" s="169">
        <f>F96+F97</f>
        <v>0</v>
      </c>
    </row>
    <row r="99" spans="3:8" ht="13.5" thickBot="1" x14ac:dyDescent="0.25">
      <c r="E99" s="161" t="s">
        <v>59</v>
      </c>
      <c r="F99" s="170">
        <f>F74+F78+F82+F86+F90+F94+F98</f>
        <v>2934350</v>
      </c>
    </row>
    <row r="100" spans="3:8" ht="13.5" thickTop="1" x14ac:dyDescent="0.2"/>
    <row r="102" spans="3:8" x14ac:dyDescent="0.2">
      <c r="C102" s="195"/>
      <c r="D102" s="195"/>
      <c r="E102" s="195"/>
      <c r="F102" s="195" t="s">
        <v>17</v>
      </c>
      <c r="G102" s="195"/>
      <c r="H102" s="195"/>
    </row>
    <row r="103" spans="3:8" x14ac:dyDescent="0.2">
      <c r="C103" s="161"/>
      <c r="F103" s="195"/>
      <c r="G103" s="195"/>
      <c r="H103" s="195"/>
    </row>
    <row r="104" spans="3:8" x14ac:dyDescent="0.2">
      <c r="C104" s="194"/>
      <c r="D104" s="194"/>
      <c r="E104" s="194"/>
    </row>
    <row r="105" spans="3:8" x14ac:dyDescent="0.2">
      <c r="C105" s="195"/>
      <c r="D105" s="195"/>
      <c r="E105" s="195"/>
      <c r="F105" s="172"/>
      <c r="G105" s="172" t="s">
        <v>197</v>
      </c>
      <c r="H105" s="172"/>
    </row>
    <row r="106" spans="3:8" x14ac:dyDescent="0.2">
      <c r="F106" s="195" t="s">
        <v>198</v>
      </c>
      <c r="G106" s="195"/>
      <c r="H106" s="195"/>
    </row>
  </sheetData>
  <mergeCells count="15">
    <mergeCell ref="C104:E104"/>
    <mergeCell ref="C105:E105"/>
    <mergeCell ref="F106:H106"/>
    <mergeCell ref="C7:H7"/>
    <mergeCell ref="C8:H8"/>
    <mergeCell ref="C10:D10"/>
    <mergeCell ref="C102:E102"/>
    <mergeCell ref="F102:H102"/>
    <mergeCell ref="F103:H103"/>
    <mergeCell ref="C6:H6"/>
    <mergeCell ref="C1:H1"/>
    <mergeCell ref="C2:H2"/>
    <mergeCell ref="C3:H3"/>
    <mergeCell ref="C4:H4"/>
    <mergeCell ref="C5:H5"/>
  </mergeCells>
  <pageMargins left="0.5" right="0.25" top="0.25" bottom="0.25" header="0.3" footer="0.3"/>
  <pageSetup paperSize="155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6"/>
  <sheetViews>
    <sheetView topLeftCell="B1" workbookViewId="0">
      <pane xSplit="4" ySplit="12" topLeftCell="F13" activePane="bottomRight" state="frozen"/>
      <selection activeCell="B1" sqref="B1"/>
      <selection pane="topRight" activeCell="F1" sqref="F1"/>
      <selection pane="bottomLeft" activeCell="B13" sqref="B13"/>
      <selection pane="bottomRight" activeCell="G73" sqref="G73"/>
    </sheetView>
  </sheetViews>
  <sheetFormatPr defaultRowHeight="12.75" x14ac:dyDescent="0.2"/>
  <cols>
    <col min="1" max="1" width="18.140625" style="5" hidden="1" customWidth="1"/>
    <col min="2" max="2" width="3.28515625" style="6" customWidth="1"/>
    <col min="3" max="3" width="5.140625" style="5" customWidth="1"/>
    <col min="4" max="4" width="5.85546875" style="5" customWidth="1"/>
    <col min="5" max="5" width="47.42578125" style="5" customWidth="1"/>
    <col min="6" max="6" width="16.28515625" style="5" customWidth="1"/>
    <col min="7" max="7" width="14.85546875" style="5" customWidth="1"/>
    <col min="8" max="8" width="16.5703125" style="5" customWidth="1"/>
    <col min="9" max="9" width="9.85546875" style="5" bestFit="1" customWidth="1"/>
    <col min="10" max="16384" width="9.140625" style="5"/>
  </cols>
  <sheetData>
    <row r="1" spans="3:10" x14ac:dyDescent="0.2">
      <c r="C1" s="195" t="s">
        <v>0</v>
      </c>
      <c r="D1" s="195"/>
      <c r="E1" s="195"/>
      <c r="F1" s="195"/>
      <c r="G1" s="195"/>
      <c r="H1" s="195"/>
    </row>
    <row r="2" spans="3:10" x14ac:dyDescent="0.2">
      <c r="C2" s="195" t="s">
        <v>1</v>
      </c>
      <c r="D2" s="195"/>
      <c r="E2" s="195"/>
      <c r="F2" s="195"/>
      <c r="G2" s="195"/>
      <c r="H2" s="195"/>
    </row>
    <row r="3" spans="3:10" x14ac:dyDescent="0.2">
      <c r="C3" s="195"/>
      <c r="D3" s="195"/>
      <c r="E3" s="195"/>
      <c r="F3" s="195"/>
      <c r="G3" s="195"/>
      <c r="H3" s="195"/>
    </row>
    <row r="4" spans="3:10" x14ac:dyDescent="0.2">
      <c r="C4" s="194" t="s">
        <v>2</v>
      </c>
      <c r="D4" s="194"/>
      <c r="E4" s="194"/>
      <c r="F4" s="194"/>
      <c r="G4" s="194"/>
      <c r="H4" s="194"/>
    </row>
    <row r="5" spans="3:10" x14ac:dyDescent="0.2">
      <c r="C5" s="195" t="s">
        <v>207</v>
      </c>
      <c r="D5" s="195"/>
      <c r="E5" s="195"/>
      <c r="F5" s="195"/>
      <c r="G5" s="195"/>
      <c r="H5" s="195"/>
    </row>
    <row r="6" spans="3:10" x14ac:dyDescent="0.2">
      <c r="C6" s="195"/>
      <c r="D6" s="195"/>
      <c r="E6" s="195"/>
      <c r="F6" s="195"/>
      <c r="G6" s="195"/>
      <c r="H6" s="195"/>
    </row>
    <row r="7" spans="3:10" x14ac:dyDescent="0.2">
      <c r="C7" s="194" t="s">
        <v>209</v>
      </c>
      <c r="D7" s="194"/>
      <c r="E7" s="194"/>
      <c r="F7" s="194"/>
      <c r="G7" s="194"/>
      <c r="H7" s="194"/>
    </row>
    <row r="8" spans="3:10" x14ac:dyDescent="0.2">
      <c r="C8" s="195" t="s">
        <v>255</v>
      </c>
      <c r="D8" s="195"/>
      <c r="E8" s="195"/>
      <c r="F8" s="195"/>
      <c r="G8" s="195"/>
      <c r="H8" s="195"/>
    </row>
    <row r="10" spans="3:10" ht="38.25" x14ac:dyDescent="0.2">
      <c r="C10" s="196" t="s">
        <v>3</v>
      </c>
      <c r="D10" s="196"/>
      <c r="E10" s="179" t="s">
        <v>4</v>
      </c>
      <c r="F10" s="179" t="s">
        <v>257</v>
      </c>
      <c r="G10" s="179" t="s">
        <v>252</v>
      </c>
      <c r="H10" s="179" t="s">
        <v>256</v>
      </c>
      <c r="I10" s="148"/>
      <c r="J10" s="148"/>
    </row>
    <row r="11" spans="3:10" x14ac:dyDescent="0.2">
      <c r="C11" s="149" t="s">
        <v>6</v>
      </c>
      <c r="D11" s="150"/>
      <c r="E11" s="151"/>
      <c r="F11" s="152"/>
      <c r="G11" s="151"/>
      <c r="H11" s="151"/>
    </row>
    <row r="12" spans="3:10" x14ac:dyDescent="0.2">
      <c r="C12" s="153"/>
      <c r="D12" s="154" t="s">
        <v>7</v>
      </c>
      <c r="E12" s="23"/>
      <c r="F12" s="154">
        <v>0</v>
      </c>
      <c r="G12" s="23"/>
      <c r="H12" s="154">
        <v>0</v>
      </c>
    </row>
    <row r="13" spans="3:10" x14ac:dyDescent="0.2">
      <c r="C13" s="29"/>
      <c r="D13" s="154" t="s">
        <v>21</v>
      </c>
      <c r="E13" s="23"/>
      <c r="F13" s="154">
        <f>SUM(F14:F28)</f>
        <v>1139390</v>
      </c>
      <c r="G13" s="154">
        <f>SUM(G14:G28)</f>
        <v>991340</v>
      </c>
      <c r="H13" s="154">
        <f>SUM(H14:H28)</f>
        <v>148050</v>
      </c>
      <c r="I13" s="167"/>
    </row>
    <row r="14" spans="3:10" x14ac:dyDescent="0.2">
      <c r="C14" s="29"/>
      <c r="D14" s="155"/>
      <c r="E14" s="171" t="s">
        <v>8</v>
      </c>
      <c r="F14" s="156">
        <f>SUM(G14:H14)</f>
        <v>27000</v>
      </c>
      <c r="G14" s="157">
        <f>'ROI - JULY'!F14</f>
        <v>27000</v>
      </c>
      <c r="H14" s="156"/>
    </row>
    <row r="15" spans="3:10" hidden="1" x14ac:dyDescent="0.2">
      <c r="C15" s="29"/>
      <c r="D15" s="33"/>
      <c r="E15" s="171" t="s">
        <v>22</v>
      </c>
      <c r="F15" s="156">
        <f t="shared" ref="F15:F50" si="0">SUM(G15:H15)</f>
        <v>0</v>
      </c>
      <c r="G15" s="157">
        <f>'ROI - JAN.'!F15</f>
        <v>0</v>
      </c>
      <c r="H15" s="156"/>
    </row>
    <row r="16" spans="3:10" x14ac:dyDescent="0.2">
      <c r="C16" s="29"/>
      <c r="D16" s="33"/>
      <c r="E16" s="171" t="s">
        <v>23</v>
      </c>
      <c r="F16" s="156">
        <f>SUM(G16:H16)</f>
        <v>574570</v>
      </c>
      <c r="G16" s="157">
        <f>'ROI - JULY'!F16</f>
        <v>496570</v>
      </c>
      <c r="H16" s="156">
        <v>78000</v>
      </c>
    </row>
    <row r="17" spans="3:9" hidden="1" x14ac:dyDescent="0.2">
      <c r="C17" s="29"/>
      <c r="D17" s="33"/>
      <c r="E17" s="171" t="s">
        <v>24</v>
      </c>
      <c r="F17" s="156">
        <f t="shared" si="0"/>
        <v>0</v>
      </c>
      <c r="G17" s="157">
        <f>'ROI - JULY'!F17</f>
        <v>0</v>
      </c>
      <c r="H17" s="156"/>
    </row>
    <row r="18" spans="3:9" x14ac:dyDescent="0.2">
      <c r="C18" s="29"/>
      <c r="D18" s="33"/>
      <c r="E18" s="171" t="s">
        <v>25</v>
      </c>
      <c r="F18" s="156">
        <f t="shared" si="0"/>
        <v>12000</v>
      </c>
      <c r="G18" s="157">
        <f>'ROI - JULY'!F18</f>
        <v>10000</v>
      </c>
      <c r="H18" s="156">
        <v>2000</v>
      </c>
    </row>
    <row r="19" spans="3:9" hidden="1" x14ac:dyDescent="0.2">
      <c r="C19" s="29"/>
      <c r="D19" s="33"/>
      <c r="E19" s="171" t="s">
        <v>26</v>
      </c>
      <c r="F19" s="156">
        <f t="shared" si="0"/>
        <v>0</v>
      </c>
      <c r="G19" s="157">
        <f>'ROI - JULY'!F19</f>
        <v>0</v>
      </c>
      <c r="H19" s="156"/>
    </row>
    <row r="20" spans="3:9" x14ac:dyDescent="0.2">
      <c r="C20" s="29"/>
      <c r="D20" s="33"/>
      <c r="E20" s="171" t="s">
        <v>27</v>
      </c>
      <c r="F20" s="156">
        <f t="shared" si="0"/>
        <v>80000</v>
      </c>
      <c r="G20" s="157">
        <f>'ROI - JULY'!F20</f>
        <v>80000</v>
      </c>
      <c r="H20" s="156"/>
    </row>
    <row r="21" spans="3:9" x14ac:dyDescent="0.2">
      <c r="C21" s="29"/>
      <c r="D21" s="33"/>
      <c r="E21" s="171" t="s">
        <v>225</v>
      </c>
      <c r="F21" s="156">
        <f>SUM(G21:H21)</f>
        <v>160000</v>
      </c>
      <c r="G21" s="157">
        <f>'ROI - JULY'!F21</f>
        <v>141000</v>
      </c>
      <c r="H21" s="156">
        <v>19000</v>
      </c>
    </row>
    <row r="22" spans="3:9" hidden="1" x14ac:dyDescent="0.2">
      <c r="C22" s="29"/>
      <c r="D22" s="33"/>
      <c r="E22" s="171" t="s">
        <v>30</v>
      </c>
      <c r="F22" s="156">
        <f t="shared" si="0"/>
        <v>0</v>
      </c>
      <c r="G22" s="157">
        <f>'ROI - JULY'!F22</f>
        <v>0</v>
      </c>
      <c r="H22" s="156"/>
    </row>
    <row r="23" spans="3:9" x14ac:dyDescent="0.2">
      <c r="C23" s="29"/>
      <c r="D23" s="33"/>
      <c r="E23" s="171" t="s">
        <v>31</v>
      </c>
      <c r="F23" s="156">
        <f>SUM(G23:H23)</f>
        <v>202600</v>
      </c>
      <c r="G23" s="157">
        <f>'ROI - JULY'!F23</f>
        <v>182400</v>
      </c>
      <c r="H23" s="156">
        <v>20200</v>
      </c>
    </row>
    <row r="24" spans="3:9" hidden="1" x14ac:dyDescent="0.2">
      <c r="C24" s="29"/>
      <c r="D24" s="33"/>
      <c r="E24" s="171" t="s">
        <v>32</v>
      </c>
      <c r="F24" s="156">
        <f t="shared" si="0"/>
        <v>0</v>
      </c>
      <c r="G24" s="157">
        <f>'ROI - JULY'!F24</f>
        <v>0</v>
      </c>
      <c r="H24" s="156"/>
    </row>
    <row r="25" spans="3:9" hidden="1" x14ac:dyDescent="0.2">
      <c r="C25" s="29"/>
      <c r="D25" s="33"/>
      <c r="E25" s="171" t="s">
        <v>33</v>
      </c>
      <c r="F25" s="156">
        <f t="shared" si="0"/>
        <v>0</v>
      </c>
      <c r="G25" s="157">
        <f>'ROI - JULY'!F25</f>
        <v>0</v>
      </c>
      <c r="H25" s="156"/>
    </row>
    <row r="26" spans="3:9" x14ac:dyDescent="0.2">
      <c r="C26" s="29"/>
      <c r="D26" s="33"/>
      <c r="E26" s="171" t="s">
        <v>194</v>
      </c>
      <c r="F26" s="156">
        <f>SUM(G26:H26)</f>
        <v>36320</v>
      </c>
      <c r="G26" s="157">
        <f>'ROI - JULY'!F26</f>
        <v>31270</v>
      </c>
      <c r="H26" s="156">
        <v>5050</v>
      </c>
    </row>
    <row r="27" spans="3:9" x14ac:dyDescent="0.2">
      <c r="C27" s="29"/>
      <c r="D27" s="158"/>
      <c r="E27" s="171" t="s">
        <v>34</v>
      </c>
      <c r="F27" s="156">
        <f t="shared" si="0"/>
        <v>0</v>
      </c>
      <c r="G27" s="157">
        <f>'ROI - JULY'!F27</f>
        <v>0</v>
      </c>
      <c r="H27" s="156"/>
    </row>
    <row r="28" spans="3:9" x14ac:dyDescent="0.2">
      <c r="C28" s="29"/>
      <c r="D28" s="158"/>
      <c r="E28" s="171" t="s">
        <v>214</v>
      </c>
      <c r="F28" s="156">
        <f>SUM(G28:H28)</f>
        <v>46900</v>
      </c>
      <c r="G28" s="157">
        <f>'ROI - JULY'!F28</f>
        <v>23100</v>
      </c>
      <c r="H28" s="156">
        <v>23800</v>
      </c>
    </row>
    <row r="29" spans="3:9" x14ac:dyDescent="0.2">
      <c r="C29" s="29"/>
      <c r="D29" s="159" t="s">
        <v>35</v>
      </c>
      <c r="E29" s="171"/>
      <c r="F29" s="154">
        <f>SUM(F30:F44)</f>
        <v>2128670</v>
      </c>
      <c r="G29" s="154">
        <f>SUM(G30:G44)</f>
        <v>1808570</v>
      </c>
      <c r="H29" s="154">
        <f>SUM(H30:H44)</f>
        <v>320100</v>
      </c>
      <c r="I29" s="167"/>
    </row>
    <row r="30" spans="3:9" hidden="1" x14ac:dyDescent="0.2">
      <c r="C30" s="29"/>
      <c r="D30" s="155"/>
      <c r="E30" s="171" t="s">
        <v>36</v>
      </c>
      <c r="F30" s="156">
        <f t="shared" si="0"/>
        <v>0</v>
      </c>
      <c r="G30" s="157">
        <f>'ROI - JAN.'!F30</f>
        <v>0</v>
      </c>
      <c r="H30" s="156"/>
    </row>
    <row r="31" spans="3:9" hidden="1" x14ac:dyDescent="0.2">
      <c r="C31" s="29"/>
      <c r="D31" s="33"/>
      <c r="E31" s="171" t="s">
        <v>37</v>
      </c>
      <c r="F31" s="156">
        <f t="shared" si="0"/>
        <v>0</v>
      </c>
      <c r="G31" s="157">
        <f>'ROI - JAN.'!F31</f>
        <v>0</v>
      </c>
      <c r="H31" s="156"/>
    </row>
    <row r="32" spans="3:9" hidden="1" x14ac:dyDescent="0.2">
      <c r="C32" s="29"/>
      <c r="D32" s="33"/>
      <c r="E32" s="171" t="s">
        <v>38</v>
      </c>
      <c r="F32" s="156">
        <f t="shared" si="0"/>
        <v>0</v>
      </c>
      <c r="G32" s="157">
        <f>'ROI - JAN.'!F32</f>
        <v>0</v>
      </c>
      <c r="H32" s="156"/>
    </row>
    <row r="33" spans="2:8" hidden="1" x14ac:dyDescent="0.2">
      <c r="C33" s="29"/>
      <c r="D33" s="33"/>
      <c r="E33" s="171" t="s">
        <v>39</v>
      </c>
      <c r="F33" s="156">
        <f t="shared" si="0"/>
        <v>0</v>
      </c>
      <c r="G33" s="157">
        <f>'ROI - MAR'!F33</f>
        <v>0</v>
      </c>
      <c r="H33" s="156"/>
    </row>
    <row r="34" spans="2:8" x14ac:dyDescent="0.2">
      <c r="C34" s="29"/>
      <c r="D34" s="33"/>
      <c r="E34" s="171" t="s">
        <v>40</v>
      </c>
      <c r="F34" s="156">
        <f>SUM(G34:H34)</f>
        <v>109000</v>
      </c>
      <c r="G34" s="157">
        <f>'ROI - JULY'!F34</f>
        <v>81000</v>
      </c>
      <c r="H34" s="156">
        <v>28000</v>
      </c>
    </row>
    <row r="35" spans="2:8" x14ac:dyDescent="0.2">
      <c r="C35" s="29"/>
      <c r="D35" s="33"/>
      <c r="E35" s="171" t="s">
        <v>41</v>
      </c>
      <c r="F35" s="156">
        <f>SUM(G35:H35)</f>
        <v>184000</v>
      </c>
      <c r="G35" s="157">
        <f>'ROI - JULY'!F35</f>
        <v>154000</v>
      </c>
      <c r="H35" s="156">
        <v>30000</v>
      </c>
    </row>
    <row r="36" spans="2:8" s="161" customFormat="1" x14ac:dyDescent="0.2">
      <c r="B36" s="160"/>
      <c r="C36" s="29"/>
      <c r="D36" s="33"/>
      <c r="E36" s="171" t="s">
        <v>42</v>
      </c>
      <c r="F36" s="156">
        <f t="shared" si="0"/>
        <v>6000</v>
      </c>
      <c r="G36" s="157">
        <f>'ROI - JULY'!F36</f>
        <v>6000</v>
      </c>
      <c r="H36" s="156"/>
    </row>
    <row r="37" spans="2:8" x14ac:dyDescent="0.2">
      <c r="C37" s="29"/>
      <c r="D37" s="33"/>
      <c r="E37" s="171" t="s">
        <v>43</v>
      </c>
      <c r="F37" s="156">
        <f t="shared" si="0"/>
        <v>0</v>
      </c>
      <c r="G37" s="157">
        <f>'ROI - JULY'!F37</f>
        <v>0</v>
      </c>
      <c r="H37" s="156"/>
    </row>
    <row r="38" spans="2:8" x14ac:dyDescent="0.2">
      <c r="C38" s="29"/>
      <c r="D38" s="33"/>
      <c r="E38" s="171" t="s">
        <v>44</v>
      </c>
      <c r="F38" s="156">
        <f t="shared" si="0"/>
        <v>18000</v>
      </c>
      <c r="G38" s="157">
        <f>'ROI - JULY'!F38</f>
        <v>6000</v>
      </c>
      <c r="H38" s="156">
        <v>12000</v>
      </c>
    </row>
    <row r="39" spans="2:8" ht="12" customHeight="1" x14ac:dyDescent="0.2">
      <c r="C39" s="29"/>
      <c r="D39" s="33"/>
      <c r="E39" s="171" t="s">
        <v>45</v>
      </c>
      <c r="F39" s="156">
        <f t="shared" si="0"/>
        <v>291030</v>
      </c>
      <c r="G39" s="157">
        <f>'ROI - JULY'!F39</f>
        <v>255030</v>
      </c>
      <c r="H39" s="156">
        <v>36000</v>
      </c>
    </row>
    <row r="40" spans="2:8" x14ac:dyDescent="0.2">
      <c r="C40" s="29"/>
      <c r="D40" s="158"/>
      <c r="E40" s="171" t="s">
        <v>199</v>
      </c>
      <c r="F40" s="156">
        <f t="shared" si="0"/>
        <v>169200</v>
      </c>
      <c r="G40" s="157">
        <f>'ROI - JULY'!F40</f>
        <v>147100</v>
      </c>
      <c r="H40" s="156">
        <v>22100</v>
      </c>
    </row>
    <row r="41" spans="2:8" x14ac:dyDescent="0.2">
      <c r="C41" s="29"/>
      <c r="D41" s="158"/>
      <c r="E41" s="171" t="s">
        <v>213</v>
      </c>
      <c r="F41" s="156">
        <f t="shared" si="0"/>
        <v>1255440</v>
      </c>
      <c r="G41" s="157">
        <f>'ROI - JULY'!F41</f>
        <v>1063440</v>
      </c>
      <c r="H41" s="156">
        <v>192000</v>
      </c>
    </row>
    <row r="42" spans="2:8" x14ac:dyDescent="0.2">
      <c r="C42" s="29"/>
      <c r="D42" s="158"/>
      <c r="E42" s="171" t="s">
        <v>220</v>
      </c>
      <c r="F42" s="156">
        <f t="shared" si="0"/>
        <v>24000</v>
      </c>
      <c r="G42" s="157">
        <f>'ROI - JULY'!F42</f>
        <v>24000</v>
      </c>
      <c r="H42" s="156"/>
    </row>
    <row r="43" spans="2:8" x14ac:dyDescent="0.2">
      <c r="C43" s="29"/>
      <c r="D43" s="158"/>
      <c r="E43" s="171" t="s">
        <v>224</v>
      </c>
      <c r="F43" s="156">
        <f t="shared" si="0"/>
        <v>66000</v>
      </c>
      <c r="G43" s="157">
        <f>'ROI - JULY'!F43</f>
        <v>66000</v>
      </c>
      <c r="H43" s="156"/>
    </row>
    <row r="44" spans="2:8" x14ac:dyDescent="0.2">
      <c r="C44" s="29"/>
      <c r="D44" s="158"/>
      <c r="E44" s="171" t="s">
        <v>246</v>
      </c>
      <c r="F44" s="156">
        <f t="shared" si="0"/>
        <v>6000</v>
      </c>
      <c r="G44" s="157">
        <f>'ROI - JULY'!F44</f>
        <v>6000</v>
      </c>
      <c r="H44" s="156"/>
    </row>
    <row r="45" spans="2:8" x14ac:dyDescent="0.2">
      <c r="C45" s="29"/>
      <c r="D45" s="159" t="s">
        <v>10</v>
      </c>
      <c r="E45" s="23"/>
      <c r="F45" s="154">
        <f>SUM(F46:F50)</f>
        <v>11253</v>
      </c>
      <c r="G45" s="154">
        <f>SUM(G46:G50)</f>
        <v>10325</v>
      </c>
      <c r="H45" s="154">
        <f>SUM(H46:H50)</f>
        <v>928</v>
      </c>
    </row>
    <row r="46" spans="2:8" hidden="1" x14ac:dyDescent="0.2">
      <c r="C46" s="29"/>
      <c r="D46" s="155"/>
      <c r="E46" s="23" t="s">
        <v>116</v>
      </c>
      <c r="F46" s="156">
        <f t="shared" si="0"/>
        <v>0</v>
      </c>
      <c r="G46" s="157">
        <f>'ROI - JAN.'!F43</f>
        <v>0</v>
      </c>
      <c r="H46" s="154"/>
    </row>
    <row r="47" spans="2:8" s="161" customFormat="1" x14ac:dyDescent="0.2">
      <c r="B47" s="160"/>
      <c r="C47" s="29"/>
      <c r="D47" s="155"/>
      <c r="E47" s="23" t="s">
        <v>46</v>
      </c>
      <c r="F47" s="156">
        <f>SUM(G47:H47)</f>
        <v>753</v>
      </c>
      <c r="G47" s="157">
        <f>'ROI - JULY'!F47</f>
        <v>325</v>
      </c>
      <c r="H47" s="156">
        <v>428</v>
      </c>
    </row>
    <row r="48" spans="2:8" x14ac:dyDescent="0.2">
      <c r="C48" s="29"/>
      <c r="D48" s="33"/>
      <c r="E48" s="23" t="s">
        <v>231</v>
      </c>
      <c r="F48" s="156">
        <f>SUM(G48:H48)</f>
        <v>10500</v>
      </c>
      <c r="G48" s="157">
        <f>'ROI - JULY'!F48</f>
        <v>10000</v>
      </c>
      <c r="H48" s="156">
        <v>500</v>
      </c>
    </row>
    <row r="49" spans="3:8" hidden="1" x14ac:dyDescent="0.2">
      <c r="C49" s="29"/>
      <c r="D49" s="33"/>
      <c r="E49" s="23" t="s">
        <v>48</v>
      </c>
      <c r="F49" s="156">
        <f t="shared" si="0"/>
        <v>0</v>
      </c>
      <c r="G49" s="157">
        <f>'ROI - JAN.'!F46</f>
        <v>0</v>
      </c>
      <c r="H49" s="156"/>
    </row>
    <row r="50" spans="3:8" hidden="1" x14ac:dyDescent="0.2">
      <c r="C50" s="29"/>
      <c r="D50" s="158"/>
      <c r="E50" s="23" t="s">
        <v>49</v>
      </c>
      <c r="F50" s="156">
        <f t="shared" si="0"/>
        <v>0</v>
      </c>
      <c r="G50" s="157">
        <f>'ROI - JAN.'!F47</f>
        <v>0</v>
      </c>
      <c r="H50" s="156"/>
    </row>
    <row r="51" spans="3:8" x14ac:dyDescent="0.2">
      <c r="C51" s="29"/>
      <c r="D51" s="159" t="s">
        <v>50</v>
      </c>
      <c r="E51" s="23"/>
      <c r="F51" s="154">
        <f>SUM(F52:F54)</f>
        <v>134620</v>
      </c>
      <c r="G51" s="154">
        <f>SUM(G52:G54)</f>
        <v>124115</v>
      </c>
      <c r="H51" s="154">
        <f>SUM(H52:H54)</f>
        <v>10505</v>
      </c>
    </row>
    <row r="52" spans="3:8" hidden="1" x14ac:dyDescent="0.2">
      <c r="C52" s="29"/>
      <c r="D52" s="155"/>
      <c r="E52" s="23" t="s">
        <v>51</v>
      </c>
      <c r="F52" s="156">
        <f>H52+G52</f>
        <v>0</v>
      </c>
      <c r="G52" s="157">
        <f>'ROI - JAN.'!F49</f>
        <v>0</v>
      </c>
      <c r="H52" s="156"/>
    </row>
    <row r="53" spans="3:8" x14ac:dyDescent="0.2">
      <c r="C53" s="29"/>
      <c r="D53" s="33"/>
      <c r="E53" s="23" t="s">
        <v>205</v>
      </c>
      <c r="F53" s="156">
        <f>SUM(G53:H53)</f>
        <v>21300</v>
      </c>
      <c r="G53" s="157">
        <f>'ROI - JULY'!F53</f>
        <v>18000</v>
      </c>
      <c r="H53" s="156">
        <v>3300</v>
      </c>
    </row>
    <row r="54" spans="3:8" x14ac:dyDescent="0.2">
      <c r="C54" s="29"/>
      <c r="D54" s="158"/>
      <c r="E54" s="23" t="s">
        <v>52</v>
      </c>
      <c r="F54" s="156">
        <f>SUM(G54:H54)</f>
        <v>113320</v>
      </c>
      <c r="G54" s="157">
        <f>'ROI - JULY'!F54</f>
        <v>106115</v>
      </c>
      <c r="H54" s="156">
        <v>7205</v>
      </c>
    </row>
    <row r="55" spans="3:8" x14ac:dyDescent="0.2">
      <c r="C55" s="29"/>
      <c r="D55" s="159" t="s">
        <v>53</v>
      </c>
      <c r="E55" s="23"/>
      <c r="F55" s="154">
        <v>0</v>
      </c>
      <c r="G55" s="23"/>
      <c r="H55" s="154">
        <v>0</v>
      </c>
    </row>
    <row r="56" spans="3:8" x14ac:dyDescent="0.2">
      <c r="C56" s="162"/>
      <c r="D56" s="159" t="s">
        <v>57</v>
      </c>
      <c r="E56" s="23"/>
      <c r="F56" s="154">
        <v>0</v>
      </c>
      <c r="G56" s="23"/>
      <c r="H56" s="154">
        <v>0</v>
      </c>
    </row>
    <row r="57" spans="3:8" x14ac:dyDescent="0.2">
      <c r="C57" s="154" t="s">
        <v>11</v>
      </c>
      <c r="D57" s="159"/>
      <c r="E57" s="23"/>
      <c r="F57" s="156">
        <f>F12+F13+F29+F45+F51+F55+F56</f>
        <v>3413933</v>
      </c>
      <c r="G57" s="156">
        <f>G12+G13+G29+G45+G51+G55+G56</f>
        <v>2934350</v>
      </c>
      <c r="H57" s="156">
        <f>H12+H13+H29+H45+H51+H55+H56</f>
        <v>479583</v>
      </c>
    </row>
    <row r="58" spans="3:8" x14ac:dyDescent="0.2">
      <c r="C58" s="154" t="s">
        <v>12</v>
      </c>
      <c r="D58" s="159"/>
      <c r="E58" s="23"/>
      <c r="F58" s="156"/>
      <c r="G58" s="23"/>
      <c r="H58" s="156"/>
    </row>
    <row r="59" spans="3:8" hidden="1" x14ac:dyDescent="0.2">
      <c r="C59" s="153"/>
      <c r="D59" s="159" t="s">
        <v>7</v>
      </c>
      <c r="E59" s="23"/>
      <c r="F59" s="156">
        <v>0</v>
      </c>
      <c r="G59" s="23"/>
      <c r="H59" s="156">
        <v>0</v>
      </c>
    </row>
    <row r="60" spans="3:8" hidden="1" x14ac:dyDescent="0.2">
      <c r="C60" s="29"/>
      <c r="D60" s="159" t="s">
        <v>21</v>
      </c>
      <c r="E60" s="23"/>
      <c r="F60" s="156">
        <v>0</v>
      </c>
      <c r="G60" s="23"/>
      <c r="H60" s="156">
        <v>0</v>
      </c>
    </row>
    <row r="61" spans="3:8" hidden="1" x14ac:dyDescent="0.2">
      <c r="C61" s="29"/>
      <c r="D61" s="159" t="s">
        <v>35</v>
      </c>
      <c r="E61" s="23"/>
      <c r="F61" s="156">
        <v>0</v>
      </c>
      <c r="G61" s="23"/>
      <c r="H61" s="156">
        <v>0</v>
      </c>
    </row>
    <row r="62" spans="3:8" hidden="1" x14ac:dyDescent="0.2">
      <c r="C62" s="29"/>
      <c r="D62" s="159" t="s">
        <v>10</v>
      </c>
      <c r="E62" s="23"/>
      <c r="F62" s="156">
        <v>0</v>
      </c>
      <c r="G62" s="23"/>
      <c r="H62" s="156">
        <v>0</v>
      </c>
    </row>
    <row r="63" spans="3:8" hidden="1" x14ac:dyDescent="0.2">
      <c r="C63" s="29"/>
      <c r="D63" s="159" t="s">
        <v>50</v>
      </c>
      <c r="E63" s="23"/>
      <c r="F63" s="156">
        <v>0</v>
      </c>
      <c r="G63" s="23"/>
      <c r="H63" s="156">
        <v>0</v>
      </c>
    </row>
    <row r="64" spans="3:8" hidden="1" x14ac:dyDescent="0.2">
      <c r="C64" s="29"/>
      <c r="D64" s="159" t="s">
        <v>53</v>
      </c>
      <c r="E64" s="23"/>
      <c r="F64" s="156">
        <v>0</v>
      </c>
      <c r="G64" s="23"/>
      <c r="H64" s="156">
        <v>0</v>
      </c>
    </row>
    <row r="65" spans="2:9" hidden="1" x14ac:dyDescent="0.2">
      <c r="C65" s="162"/>
      <c r="D65" s="159" t="s">
        <v>57</v>
      </c>
      <c r="E65" s="23"/>
      <c r="F65" s="156">
        <v>0</v>
      </c>
      <c r="G65" s="23"/>
      <c r="H65" s="156">
        <v>0</v>
      </c>
    </row>
    <row r="66" spans="2:9" x14ac:dyDescent="0.2">
      <c r="C66" s="154" t="s">
        <v>13</v>
      </c>
      <c r="D66" s="159"/>
      <c r="E66" s="159"/>
      <c r="F66" s="154">
        <f>SUM(F59:F65)</f>
        <v>0</v>
      </c>
      <c r="G66" s="23"/>
      <c r="H66" s="154">
        <f>SUM(H59:H65)</f>
        <v>0</v>
      </c>
    </row>
    <row r="67" spans="2:9" x14ac:dyDescent="0.2">
      <c r="C67" s="163" t="s">
        <v>14</v>
      </c>
      <c r="D67" s="164"/>
      <c r="E67" s="165"/>
      <c r="F67" s="166">
        <f>F57+F66</f>
        <v>3413933</v>
      </c>
      <c r="G67" s="166">
        <f>G57+G66</f>
        <v>2934350</v>
      </c>
      <c r="H67" s="166">
        <f>H57+H66</f>
        <v>479583</v>
      </c>
    </row>
    <row r="68" spans="2:9" x14ac:dyDescent="0.2">
      <c r="C68" s="160"/>
      <c r="D68" s="161"/>
      <c r="F68" s="6"/>
    </row>
    <row r="69" spans="2:9" x14ac:dyDescent="0.2">
      <c r="E69" s="161" t="s">
        <v>15</v>
      </c>
      <c r="G69" s="167"/>
      <c r="I69" s="167"/>
    </row>
    <row r="70" spans="2:9" s="161" customFormat="1" x14ac:dyDescent="0.2">
      <c r="B70" s="160"/>
      <c r="C70" s="5"/>
      <c r="D70" s="5"/>
      <c r="E70" s="5"/>
      <c r="F70" s="5"/>
      <c r="G70" s="167"/>
      <c r="H70" s="167"/>
    </row>
    <row r="71" spans="2:9" x14ac:dyDescent="0.2">
      <c r="E71" s="161" t="s">
        <v>7</v>
      </c>
      <c r="G71" s="161"/>
      <c r="H71" s="177"/>
    </row>
    <row r="72" spans="2:9" x14ac:dyDescent="0.2">
      <c r="E72" s="5" t="s">
        <v>54</v>
      </c>
      <c r="F72" s="167">
        <f>F12</f>
        <v>0</v>
      </c>
      <c r="G72" s="167"/>
      <c r="H72" s="167"/>
    </row>
    <row r="73" spans="2:9" x14ac:dyDescent="0.2">
      <c r="E73" s="5" t="s">
        <v>55</v>
      </c>
      <c r="F73" s="167">
        <f>F59</f>
        <v>0</v>
      </c>
    </row>
    <row r="74" spans="2:9" x14ac:dyDescent="0.2">
      <c r="E74" s="168" t="s">
        <v>56</v>
      </c>
      <c r="F74" s="169">
        <f>F72+F73</f>
        <v>0</v>
      </c>
    </row>
    <row r="75" spans="2:9" x14ac:dyDescent="0.2">
      <c r="E75" s="161" t="s">
        <v>21</v>
      </c>
      <c r="H75" s="167"/>
    </row>
    <row r="76" spans="2:9" x14ac:dyDescent="0.2">
      <c r="E76" s="5" t="s">
        <v>54</v>
      </c>
      <c r="F76" s="167">
        <f>F13</f>
        <v>1139390</v>
      </c>
    </row>
    <row r="77" spans="2:9" x14ac:dyDescent="0.2">
      <c r="E77" s="5" t="s">
        <v>55</v>
      </c>
      <c r="F77" s="167">
        <f>F60</f>
        <v>0</v>
      </c>
    </row>
    <row r="78" spans="2:9" x14ac:dyDescent="0.2">
      <c r="E78" s="168" t="s">
        <v>56</v>
      </c>
      <c r="F78" s="169">
        <f>F76+F77</f>
        <v>1139390</v>
      </c>
    </row>
    <row r="79" spans="2:9" x14ac:dyDescent="0.2">
      <c r="E79" s="161" t="s">
        <v>58</v>
      </c>
    </row>
    <row r="80" spans="2:9" x14ac:dyDescent="0.2">
      <c r="E80" s="5" t="s">
        <v>54</v>
      </c>
      <c r="F80" s="167">
        <f>F29</f>
        <v>2128670</v>
      </c>
    </row>
    <row r="81" spans="5:6" x14ac:dyDescent="0.2">
      <c r="E81" s="5" t="s">
        <v>55</v>
      </c>
      <c r="F81" s="167">
        <f>F61</f>
        <v>0</v>
      </c>
    </row>
    <row r="82" spans="5:6" x14ac:dyDescent="0.2">
      <c r="E82" s="168" t="s">
        <v>56</v>
      </c>
      <c r="F82" s="169">
        <f>F80+F81</f>
        <v>2128670</v>
      </c>
    </row>
    <row r="83" spans="5:6" x14ac:dyDescent="0.2">
      <c r="E83" s="161" t="s">
        <v>10</v>
      </c>
    </row>
    <row r="84" spans="5:6" x14ac:dyDescent="0.2">
      <c r="E84" s="5" t="s">
        <v>54</v>
      </c>
      <c r="F84" s="167">
        <f>F45</f>
        <v>11253</v>
      </c>
    </row>
    <row r="85" spans="5:6" x14ac:dyDescent="0.2">
      <c r="E85" s="5" t="s">
        <v>55</v>
      </c>
      <c r="F85" s="167">
        <f>F62</f>
        <v>0</v>
      </c>
    </row>
    <row r="86" spans="5:6" x14ac:dyDescent="0.2">
      <c r="E86" s="168" t="s">
        <v>56</v>
      </c>
      <c r="F86" s="169">
        <f>F84+F85</f>
        <v>11253</v>
      </c>
    </row>
    <row r="87" spans="5:6" x14ac:dyDescent="0.2">
      <c r="E87" s="161" t="s">
        <v>50</v>
      </c>
    </row>
    <row r="88" spans="5:6" x14ac:dyDescent="0.2">
      <c r="E88" s="5" t="s">
        <v>54</v>
      </c>
      <c r="F88" s="167">
        <f>F51</f>
        <v>134620</v>
      </c>
    </row>
    <row r="89" spans="5:6" x14ac:dyDescent="0.2">
      <c r="E89" s="5" t="s">
        <v>55</v>
      </c>
      <c r="F89" s="167">
        <f>F63</f>
        <v>0</v>
      </c>
    </row>
    <row r="90" spans="5:6" x14ac:dyDescent="0.2">
      <c r="E90" s="168" t="s">
        <v>56</v>
      </c>
      <c r="F90" s="169">
        <f>F88+F89</f>
        <v>134620</v>
      </c>
    </row>
    <row r="91" spans="5:6" hidden="1" x14ac:dyDescent="0.2">
      <c r="E91" s="161" t="s">
        <v>53</v>
      </c>
    </row>
    <row r="92" spans="5:6" hidden="1" x14ac:dyDescent="0.2">
      <c r="E92" s="5" t="s">
        <v>54</v>
      </c>
      <c r="F92" s="167">
        <f>F55</f>
        <v>0</v>
      </c>
    </row>
    <row r="93" spans="5:6" hidden="1" x14ac:dyDescent="0.2">
      <c r="E93" s="5" t="s">
        <v>55</v>
      </c>
      <c r="F93" s="167">
        <f>F64</f>
        <v>0</v>
      </c>
    </row>
    <row r="94" spans="5:6" hidden="1" x14ac:dyDescent="0.2">
      <c r="E94" s="168" t="s">
        <v>56</v>
      </c>
      <c r="F94" s="169">
        <f>F92+F93</f>
        <v>0</v>
      </c>
    </row>
    <row r="95" spans="5:6" hidden="1" x14ac:dyDescent="0.2">
      <c r="E95" s="161" t="s">
        <v>57</v>
      </c>
    </row>
    <row r="96" spans="5:6" hidden="1" x14ac:dyDescent="0.2">
      <c r="E96" s="5" t="s">
        <v>54</v>
      </c>
      <c r="F96" s="167">
        <f>F56</f>
        <v>0</v>
      </c>
    </row>
    <row r="97" spans="3:8" hidden="1" x14ac:dyDescent="0.2">
      <c r="E97" s="5" t="s">
        <v>55</v>
      </c>
      <c r="F97" s="167">
        <f>F65</f>
        <v>0</v>
      </c>
    </row>
    <row r="98" spans="3:8" x14ac:dyDescent="0.2">
      <c r="E98" s="168" t="s">
        <v>56</v>
      </c>
      <c r="F98" s="169">
        <f>F96+F97</f>
        <v>0</v>
      </c>
    </row>
    <row r="99" spans="3:8" ht="13.5" thickBot="1" x14ac:dyDescent="0.25">
      <c r="E99" s="161" t="s">
        <v>59</v>
      </c>
      <c r="F99" s="170">
        <f>F74+F78+F82+F86+F90+F94+F98</f>
        <v>3413933</v>
      </c>
    </row>
    <row r="100" spans="3:8" ht="13.5" thickTop="1" x14ac:dyDescent="0.2"/>
    <row r="102" spans="3:8" x14ac:dyDescent="0.2">
      <c r="C102" s="195"/>
      <c r="D102" s="195"/>
      <c r="E102" s="195"/>
      <c r="F102" s="195" t="s">
        <v>17</v>
      </c>
      <c r="G102" s="195"/>
      <c r="H102" s="195"/>
    </row>
    <row r="103" spans="3:8" x14ac:dyDescent="0.2">
      <c r="C103" s="161"/>
      <c r="F103" s="195"/>
      <c r="G103" s="195"/>
      <c r="H103" s="195"/>
    </row>
    <row r="104" spans="3:8" x14ac:dyDescent="0.2">
      <c r="C104" s="194"/>
      <c r="D104" s="194"/>
      <c r="E104" s="194"/>
    </row>
    <row r="105" spans="3:8" x14ac:dyDescent="0.2">
      <c r="C105" s="195"/>
      <c r="D105" s="195"/>
      <c r="E105" s="195"/>
      <c r="F105" s="172"/>
      <c r="G105" s="172" t="s">
        <v>197</v>
      </c>
      <c r="H105" s="172"/>
    </row>
    <row r="106" spans="3:8" x14ac:dyDescent="0.2">
      <c r="F106" s="195" t="s">
        <v>198</v>
      </c>
      <c r="G106" s="195"/>
      <c r="H106" s="195"/>
    </row>
  </sheetData>
  <mergeCells count="15">
    <mergeCell ref="C6:H6"/>
    <mergeCell ref="C1:H1"/>
    <mergeCell ref="C2:H2"/>
    <mergeCell ref="C3:H3"/>
    <mergeCell ref="C4:H4"/>
    <mergeCell ref="C5:H5"/>
    <mergeCell ref="C104:E104"/>
    <mergeCell ref="C105:E105"/>
    <mergeCell ref="F106:H106"/>
    <mergeCell ref="C7:H7"/>
    <mergeCell ref="C8:H8"/>
    <mergeCell ref="C10:D10"/>
    <mergeCell ref="C102:E102"/>
    <mergeCell ref="F102:H102"/>
    <mergeCell ref="F103:H103"/>
  </mergeCells>
  <pageMargins left="0.5" right="0.25" top="0.25" bottom="0.25" header="0.3" footer="0.3"/>
  <pageSetup paperSize="155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ACCOUNT CODES</vt:lpstr>
      <vt:lpstr>ROI - JAN.</vt:lpstr>
      <vt:lpstr>ROI - FEB.</vt:lpstr>
      <vt:lpstr>ROI - MAR</vt:lpstr>
      <vt:lpstr>ROI - APR</vt:lpstr>
      <vt:lpstr>ROI - MAY</vt:lpstr>
      <vt:lpstr>ROI - JUNE</vt:lpstr>
      <vt:lpstr>ROI - JULY</vt:lpstr>
      <vt:lpstr>ROI - AUG</vt:lpstr>
      <vt:lpstr>ROI - SEP</vt:lpstr>
      <vt:lpstr>ROI - OCT</vt:lpstr>
      <vt:lpstr>ROI - NOV</vt:lpstr>
      <vt:lpstr>ROI - DEC</vt:lpstr>
      <vt:lpstr>FAR NO. 5</vt:lpstr>
      <vt:lpstr>Sheet1</vt:lpstr>
      <vt:lpstr>'ACCOUNT CODES'!Print_Area</vt:lpstr>
      <vt:lpstr>'ROI - JAN.'!Print_Area</vt:lpstr>
      <vt:lpstr>'ROI - JAN.'!Print_Titles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Mines</cp:lastModifiedBy>
  <cp:lastPrinted>2017-05-24T07:30:56Z</cp:lastPrinted>
  <dcterms:created xsi:type="dcterms:W3CDTF">2016-01-26T08:51:17Z</dcterms:created>
  <dcterms:modified xsi:type="dcterms:W3CDTF">2017-05-24T08:05:11Z</dcterms:modified>
</cp:coreProperties>
</file>