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11475" yWindow="-15" windowWidth="8835" windowHeight="7965" tabRatio="939" firstSheet="2" activeTab="2"/>
  </bookViews>
  <sheets>
    <sheet name="TEMPLATE" sheetId="1" state="hidden" r:id="rId1"/>
    <sheet name="tb" sheetId="29" state="hidden" r:id="rId2"/>
    <sheet name="sfper" sheetId="30" r:id="rId3"/>
    <sheet name="confper" sheetId="31" state="hidden" r:id="rId4"/>
    <sheet name="sfpos" sheetId="32" state="hidden" r:id="rId5"/>
    <sheet name="sfpos 101" sheetId="35" state="hidden" r:id="rId6"/>
    <sheet name="sfpos 151" sheetId="36" state="hidden" r:id="rId7"/>
    <sheet name="confpos" sheetId="33" state="hidden" r:id="rId8"/>
    <sheet name="confpos 101" sheetId="37" state="hidden" r:id="rId9"/>
    <sheet name="position_151" sheetId="17" state="hidden" r:id="rId10"/>
    <sheet name="equity_all funds" sheetId="7" state="hidden" r:id="rId11"/>
    <sheet name="equity_101" sheetId="18" state="hidden" r:id="rId12"/>
    <sheet name="equitY101" sheetId="22" state="hidden" r:id="rId13"/>
    <sheet name="equity_151" sheetId="19" state="hidden" r:id="rId14"/>
    <sheet name="CFS_2015_all funds" sheetId="12" state="hidden" r:id="rId15"/>
    <sheet name="scf2" sheetId="2" state="hidden" r:id="rId16"/>
    <sheet name="SCBAA" sheetId="23" state="hidden" r:id="rId17"/>
    <sheet name="Sheet1" sheetId="8" state="hidden" r:id="rId18"/>
    <sheet name="NOTES" sheetId="9" state="hidden" r:id="rId19"/>
    <sheet name="Sheet3" sheetId="25" r:id="rId20"/>
  </sheets>
  <externalReferences>
    <externalReference r:id="rId21"/>
    <externalReference r:id="rId22"/>
    <externalReference r:id="rId23"/>
    <externalReference r:id="rId24"/>
  </externalReferences>
  <definedNames>
    <definedName name="_xlnm._FilterDatabase" localSheetId="0" hidden="1">TEMPLATE!$A$9:$P$231</definedName>
    <definedName name="_xlnm.Print_Area" localSheetId="9">position_151!$A$1:$G$174</definedName>
  </definedNames>
  <calcPr calcId="124519"/>
</workbook>
</file>

<file path=xl/calcChain.xml><?xml version="1.0" encoding="utf-8"?>
<calcChain xmlns="http://schemas.openxmlformats.org/spreadsheetml/2006/main">
  <c r="C39" i="12"/>
  <c r="E42"/>
  <c r="C36"/>
  <c r="C31"/>
  <c r="C35"/>
  <c r="C32" l="1"/>
  <c r="C18" l="1"/>
  <c r="G6" i="22"/>
  <c r="R95" i="36"/>
  <c r="R48"/>
  <c r="R131"/>
  <c r="Q129"/>
  <c r="Q131" s="1"/>
  <c r="P129"/>
  <c r="P131" s="1"/>
  <c r="O129"/>
  <c r="O131" s="1"/>
  <c r="N129"/>
  <c r="N131" s="1"/>
  <c r="M129"/>
  <c r="M131" s="1"/>
  <c r="L129"/>
  <c r="L131" s="1"/>
  <c r="K129"/>
  <c r="K131" s="1"/>
  <c r="J129"/>
  <c r="J131" s="1"/>
  <c r="I129"/>
  <c r="I131" s="1"/>
  <c r="H129"/>
  <c r="H131" s="1"/>
  <c r="G129"/>
  <c r="G131" s="1"/>
  <c r="F129"/>
  <c r="F131" s="1"/>
  <c r="R128"/>
  <c r="Q122"/>
  <c r="P122"/>
  <c r="O122"/>
  <c r="N122"/>
  <c r="M122"/>
  <c r="L122"/>
  <c r="K122"/>
  <c r="J122"/>
  <c r="I122"/>
  <c r="H122"/>
  <c r="G122"/>
  <c r="F122"/>
  <c r="Q121"/>
  <c r="P121"/>
  <c r="O121"/>
  <c r="O120" s="1"/>
  <c r="O124" s="1"/>
  <c r="N121"/>
  <c r="M121"/>
  <c r="M120" s="1"/>
  <c r="M124" s="1"/>
  <c r="L121"/>
  <c r="L120" s="1"/>
  <c r="L124" s="1"/>
  <c r="K121"/>
  <c r="K120" s="1"/>
  <c r="K124" s="1"/>
  <c r="J121"/>
  <c r="I121"/>
  <c r="I120" s="1"/>
  <c r="I124" s="1"/>
  <c r="H121"/>
  <c r="H120" s="1"/>
  <c r="H124" s="1"/>
  <c r="G121"/>
  <c r="G120" s="1"/>
  <c r="G124" s="1"/>
  <c r="F121"/>
  <c r="Q120"/>
  <c r="Q124" s="1"/>
  <c r="P120"/>
  <c r="P124" s="1"/>
  <c r="Q114"/>
  <c r="P114"/>
  <c r="O114"/>
  <c r="O113" s="1"/>
  <c r="N114"/>
  <c r="N113" s="1"/>
  <c r="M114"/>
  <c r="M113" s="1"/>
  <c r="L114"/>
  <c r="L113" s="1"/>
  <c r="K114"/>
  <c r="K113" s="1"/>
  <c r="J114"/>
  <c r="J113" s="1"/>
  <c r="I114"/>
  <c r="I113" s="1"/>
  <c r="H114"/>
  <c r="H113" s="1"/>
  <c r="G114"/>
  <c r="G113" s="1"/>
  <c r="F114"/>
  <c r="F113" s="1"/>
  <c r="Q113"/>
  <c r="P113"/>
  <c r="Q111"/>
  <c r="P111"/>
  <c r="O111"/>
  <c r="N111"/>
  <c r="M111"/>
  <c r="L111"/>
  <c r="K111"/>
  <c r="J111"/>
  <c r="I111"/>
  <c r="H111"/>
  <c r="G111"/>
  <c r="F111"/>
  <c r="Q110"/>
  <c r="P110"/>
  <c r="O110"/>
  <c r="N110"/>
  <c r="M110"/>
  <c r="L110"/>
  <c r="K110"/>
  <c r="J110"/>
  <c r="I110"/>
  <c r="H110"/>
  <c r="G110"/>
  <c r="F110"/>
  <c r="Q109"/>
  <c r="P109"/>
  <c r="O109"/>
  <c r="N109"/>
  <c r="M109"/>
  <c r="L109"/>
  <c r="K109"/>
  <c r="J109"/>
  <c r="I109"/>
  <c r="H109"/>
  <c r="G109"/>
  <c r="F109"/>
  <c r="Q108"/>
  <c r="P108"/>
  <c r="O108"/>
  <c r="N108"/>
  <c r="M108"/>
  <c r="L108"/>
  <c r="K108"/>
  <c r="J108"/>
  <c r="I108"/>
  <c r="H108"/>
  <c r="G108"/>
  <c r="F108"/>
  <c r="Q107"/>
  <c r="P107"/>
  <c r="O107"/>
  <c r="N107"/>
  <c r="M107"/>
  <c r="L107"/>
  <c r="K107"/>
  <c r="J107"/>
  <c r="I107"/>
  <c r="H107"/>
  <c r="G107"/>
  <c r="F107"/>
  <c r="Q106"/>
  <c r="P106"/>
  <c r="O106"/>
  <c r="N106"/>
  <c r="M106"/>
  <c r="L106"/>
  <c r="K106"/>
  <c r="K105" s="1"/>
  <c r="J106"/>
  <c r="I106"/>
  <c r="H106"/>
  <c r="G106"/>
  <c r="G105" s="1"/>
  <c r="F106"/>
  <c r="Q103"/>
  <c r="P103"/>
  <c r="O103"/>
  <c r="N103"/>
  <c r="M103"/>
  <c r="L103"/>
  <c r="K103"/>
  <c r="J103"/>
  <c r="I103"/>
  <c r="H103"/>
  <c r="G103"/>
  <c r="F103"/>
  <c r="Q102"/>
  <c r="P102"/>
  <c r="O102"/>
  <c r="O101" s="1"/>
  <c r="N102"/>
  <c r="M102"/>
  <c r="M101" s="1"/>
  <c r="L102"/>
  <c r="K102"/>
  <c r="K101" s="1"/>
  <c r="J102"/>
  <c r="J101" s="1"/>
  <c r="I102"/>
  <c r="I101" s="1"/>
  <c r="H102"/>
  <c r="G102"/>
  <c r="G101" s="1"/>
  <c r="F102"/>
  <c r="F101" s="1"/>
  <c r="N101"/>
  <c r="R99"/>
  <c r="R98"/>
  <c r="R97"/>
  <c r="Q91"/>
  <c r="R91" s="1"/>
  <c r="P91"/>
  <c r="P90" s="1"/>
  <c r="O91"/>
  <c r="O90" s="1"/>
  <c r="N91"/>
  <c r="N90" s="1"/>
  <c r="M91"/>
  <c r="M90" s="1"/>
  <c r="L91"/>
  <c r="L90" s="1"/>
  <c r="K91"/>
  <c r="K90" s="1"/>
  <c r="J91"/>
  <c r="J90" s="1"/>
  <c r="I91"/>
  <c r="I90" s="1"/>
  <c r="H91"/>
  <c r="H90" s="1"/>
  <c r="G91"/>
  <c r="G90" s="1"/>
  <c r="F91"/>
  <c r="F90" s="1"/>
  <c r="Q90"/>
  <c r="Q87"/>
  <c r="P87"/>
  <c r="O87"/>
  <c r="N87"/>
  <c r="M87"/>
  <c r="L87"/>
  <c r="K87"/>
  <c r="J87"/>
  <c r="I87"/>
  <c r="H87"/>
  <c r="G87"/>
  <c r="F87"/>
  <c r="Q86"/>
  <c r="Q88" s="1"/>
  <c r="P86"/>
  <c r="P88" s="1"/>
  <c r="O86"/>
  <c r="N86"/>
  <c r="N88" s="1"/>
  <c r="M86"/>
  <c r="M88" s="1"/>
  <c r="L86"/>
  <c r="L88" s="1"/>
  <c r="K86"/>
  <c r="K88" s="1"/>
  <c r="J86"/>
  <c r="J88" s="1"/>
  <c r="I86"/>
  <c r="I88" s="1"/>
  <c r="H86"/>
  <c r="H88" s="1"/>
  <c r="G86"/>
  <c r="G88" s="1"/>
  <c r="F86"/>
  <c r="F88" s="1"/>
  <c r="Q85"/>
  <c r="P85"/>
  <c r="O85"/>
  <c r="N85"/>
  <c r="M85"/>
  <c r="L85"/>
  <c r="K85"/>
  <c r="J85"/>
  <c r="I85"/>
  <c r="H85"/>
  <c r="G85"/>
  <c r="F85"/>
  <c r="Q83"/>
  <c r="P83"/>
  <c r="O83"/>
  <c r="N83"/>
  <c r="M83"/>
  <c r="L83"/>
  <c r="K83"/>
  <c r="J83"/>
  <c r="I83"/>
  <c r="H83"/>
  <c r="G83"/>
  <c r="F83"/>
  <c r="Q82"/>
  <c r="Q84" s="1"/>
  <c r="P82"/>
  <c r="P84" s="1"/>
  <c r="O82"/>
  <c r="O84" s="1"/>
  <c r="N82"/>
  <c r="N84" s="1"/>
  <c r="M82"/>
  <c r="M84" s="1"/>
  <c r="L82"/>
  <c r="L84" s="1"/>
  <c r="K82"/>
  <c r="K84" s="1"/>
  <c r="J82"/>
  <c r="J84" s="1"/>
  <c r="I82"/>
  <c r="I84" s="1"/>
  <c r="H82"/>
  <c r="H84" s="1"/>
  <c r="G82"/>
  <c r="G84" s="1"/>
  <c r="F82"/>
  <c r="F84" s="1"/>
  <c r="Q80"/>
  <c r="P80"/>
  <c r="O80"/>
  <c r="N80"/>
  <c r="M80"/>
  <c r="L80"/>
  <c r="K80"/>
  <c r="J80"/>
  <c r="I80"/>
  <c r="H80"/>
  <c r="G80"/>
  <c r="F80"/>
  <c r="Q79"/>
  <c r="Q81" s="1"/>
  <c r="P79"/>
  <c r="P81" s="1"/>
  <c r="O79"/>
  <c r="O81" s="1"/>
  <c r="N79"/>
  <c r="M79"/>
  <c r="M81" s="1"/>
  <c r="L79"/>
  <c r="L81" s="1"/>
  <c r="K79"/>
  <c r="K81" s="1"/>
  <c r="J79"/>
  <c r="I79"/>
  <c r="I81" s="1"/>
  <c r="H79"/>
  <c r="H81" s="1"/>
  <c r="G79"/>
  <c r="G81" s="1"/>
  <c r="F79"/>
  <c r="Q77"/>
  <c r="P77"/>
  <c r="O77"/>
  <c r="N77"/>
  <c r="M77"/>
  <c r="L77"/>
  <c r="K77"/>
  <c r="J77"/>
  <c r="I77"/>
  <c r="H77"/>
  <c r="G77"/>
  <c r="F77"/>
  <c r="Q76"/>
  <c r="P76"/>
  <c r="P78" s="1"/>
  <c r="O76"/>
  <c r="O78" s="1"/>
  <c r="N76"/>
  <c r="N78" s="1"/>
  <c r="M76"/>
  <c r="L76"/>
  <c r="L78" s="1"/>
  <c r="K76"/>
  <c r="K78" s="1"/>
  <c r="J76"/>
  <c r="J78" s="1"/>
  <c r="I76"/>
  <c r="H76"/>
  <c r="H78" s="1"/>
  <c r="G76"/>
  <c r="G78" s="1"/>
  <c r="F76"/>
  <c r="F78" s="1"/>
  <c r="Q74"/>
  <c r="P74"/>
  <c r="O74"/>
  <c r="N74"/>
  <c r="M74"/>
  <c r="L74"/>
  <c r="K74"/>
  <c r="J74"/>
  <c r="I74"/>
  <c r="H74"/>
  <c r="G74"/>
  <c r="F74"/>
  <c r="Q73"/>
  <c r="P73"/>
  <c r="P75" s="1"/>
  <c r="O73"/>
  <c r="N73"/>
  <c r="N75" s="1"/>
  <c r="M73"/>
  <c r="M75" s="1"/>
  <c r="L73"/>
  <c r="L75" s="1"/>
  <c r="K73"/>
  <c r="J73"/>
  <c r="J75" s="1"/>
  <c r="I73"/>
  <c r="I75" s="1"/>
  <c r="H73"/>
  <c r="H75" s="1"/>
  <c r="G73"/>
  <c r="F73"/>
  <c r="F75" s="1"/>
  <c r="Q71"/>
  <c r="P71"/>
  <c r="O71"/>
  <c r="N71"/>
  <c r="M71"/>
  <c r="L71"/>
  <c r="K71"/>
  <c r="J71"/>
  <c r="I71"/>
  <c r="H71"/>
  <c r="G71"/>
  <c r="F71"/>
  <c r="Q70"/>
  <c r="Q72" s="1"/>
  <c r="P70"/>
  <c r="P72" s="1"/>
  <c r="O70"/>
  <c r="O72" s="1"/>
  <c r="N70"/>
  <c r="M70"/>
  <c r="M72" s="1"/>
  <c r="L70"/>
  <c r="L72" s="1"/>
  <c r="K70"/>
  <c r="K72" s="1"/>
  <c r="J70"/>
  <c r="I70"/>
  <c r="I72" s="1"/>
  <c r="H70"/>
  <c r="H72" s="1"/>
  <c r="G70"/>
  <c r="G72" s="1"/>
  <c r="F70"/>
  <c r="Q68"/>
  <c r="P68"/>
  <c r="O68"/>
  <c r="N68"/>
  <c r="M68"/>
  <c r="L68"/>
  <c r="K68"/>
  <c r="J68"/>
  <c r="I68"/>
  <c r="H68"/>
  <c r="G68"/>
  <c r="F68"/>
  <c r="Q67"/>
  <c r="P67"/>
  <c r="P69" s="1"/>
  <c r="O67"/>
  <c r="O69" s="1"/>
  <c r="N67"/>
  <c r="N69" s="1"/>
  <c r="M67"/>
  <c r="L67"/>
  <c r="L69" s="1"/>
  <c r="K67"/>
  <c r="K69" s="1"/>
  <c r="J67"/>
  <c r="J69" s="1"/>
  <c r="I67"/>
  <c r="H67"/>
  <c r="H69" s="1"/>
  <c r="G67"/>
  <c r="G69" s="1"/>
  <c r="F67"/>
  <c r="F69" s="1"/>
  <c r="Q65"/>
  <c r="P65"/>
  <c r="O65"/>
  <c r="N65"/>
  <c r="M65"/>
  <c r="L65"/>
  <c r="K65"/>
  <c r="J65"/>
  <c r="I65"/>
  <c r="H65"/>
  <c r="G65"/>
  <c r="F65"/>
  <c r="Q64"/>
  <c r="Q66" s="1"/>
  <c r="P64"/>
  <c r="O64"/>
  <c r="O66" s="1"/>
  <c r="N64"/>
  <c r="N66" s="1"/>
  <c r="M64"/>
  <c r="M66" s="1"/>
  <c r="L64"/>
  <c r="K64"/>
  <c r="K66" s="1"/>
  <c r="J64"/>
  <c r="J66" s="1"/>
  <c r="I64"/>
  <c r="I66" s="1"/>
  <c r="H64"/>
  <c r="G64"/>
  <c r="G66" s="1"/>
  <c r="F64"/>
  <c r="F66" s="1"/>
  <c r="Q62"/>
  <c r="P62"/>
  <c r="O62"/>
  <c r="N62"/>
  <c r="M62"/>
  <c r="L62"/>
  <c r="K62"/>
  <c r="J62"/>
  <c r="I62"/>
  <c r="H62"/>
  <c r="G62"/>
  <c r="F62"/>
  <c r="Q61"/>
  <c r="P61"/>
  <c r="P63" s="1"/>
  <c r="O61"/>
  <c r="N61"/>
  <c r="N63" s="1"/>
  <c r="M61"/>
  <c r="M63" s="1"/>
  <c r="L61"/>
  <c r="L63" s="1"/>
  <c r="K61"/>
  <c r="J61"/>
  <c r="J63" s="1"/>
  <c r="I61"/>
  <c r="I63" s="1"/>
  <c r="H61"/>
  <c r="H63" s="1"/>
  <c r="G61"/>
  <c r="F61"/>
  <c r="F63" s="1"/>
  <c r="Q59"/>
  <c r="P59"/>
  <c r="O59"/>
  <c r="N59"/>
  <c r="M59"/>
  <c r="L59"/>
  <c r="K59"/>
  <c r="J59"/>
  <c r="I59"/>
  <c r="H59"/>
  <c r="G59"/>
  <c r="F59"/>
  <c r="Q58"/>
  <c r="Q60" s="1"/>
  <c r="P58"/>
  <c r="P60" s="1"/>
  <c r="O58"/>
  <c r="O60" s="1"/>
  <c r="N58"/>
  <c r="N60" s="1"/>
  <c r="M58"/>
  <c r="M60" s="1"/>
  <c r="L58"/>
  <c r="L60" s="1"/>
  <c r="K58"/>
  <c r="K60" s="1"/>
  <c r="J58"/>
  <c r="J60" s="1"/>
  <c r="I58"/>
  <c r="I60" s="1"/>
  <c r="H58"/>
  <c r="H60" s="1"/>
  <c r="G58"/>
  <c r="F58"/>
  <c r="F60" s="1"/>
  <c r="Q57"/>
  <c r="P57"/>
  <c r="O57"/>
  <c r="N57"/>
  <c r="M57"/>
  <c r="L57"/>
  <c r="K57"/>
  <c r="J57"/>
  <c r="I57"/>
  <c r="H57"/>
  <c r="G57"/>
  <c r="F57"/>
  <c r="Q55"/>
  <c r="P55"/>
  <c r="O55"/>
  <c r="N55"/>
  <c r="M55"/>
  <c r="L55"/>
  <c r="K55"/>
  <c r="J55"/>
  <c r="I55"/>
  <c r="H55"/>
  <c r="G55"/>
  <c r="F55"/>
  <c r="Q54"/>
  <c r="Q56" s="1"/>
  <c r="P54"/>
  <c r="P56" s="1"/>
  <c r="O54"/>
  <c r="O56" s="1"/>
  <c r="N54"/>
  <c r="N56" s="1"/>
  <c r="M54"/>
  <c r="M56" s="1"/>
  <c r="L54"/>
  <c r="L56" s="1"/>
  <c r="K54"/>
  <c r="K56" s="1"/>
  <c r="J54"/>
  <c r="J56" s="1"/>
  <c r="I54"/>
  <c r="I56" s="1"/>
  <c r="H54"/>
  <c r="H56" s="1"/>
  <c r="G54"/>
  <c r="G56" s="1"/>
  <c r="F54"/>
  <c r="F56" s="1"/>
  <c r="Q53"/>
  <c r="P53"/>
  <c r="O53"/>
  <c r="N53"/>
  <c r="M53"/>
  <c r="L53"/>
  <c r="K53"/>
  <c r="J53"/>
  <c r="I53"/>
  <c r="H53"/>
  <c r="G53"/>
  <c r="F53"/>
  <c r="Q46"/>
  <c r="P46"/>
  <c r="O46"/>
  <c r="N46"/>
  <c r="M46"/>
  <c r="L46"/>
  <c r="K46"/>
  <c r="J46"/>
  <c r="I46"/>
  <c r="H46"/>
  <c r="G46"/>
  <c r="F46"/>
  <c r="Q45"/>
  <c r="P45"/>
  <c r="O45"/>
  <c r="N45"/>
  <c r="M45"/>
  <c r="L45"/>
  <c r="K45"/>
  <c r="J45"/>
  <c r="I45"/>
  <c r="H45"/>
  <c r="G45"/>
  <c r="F45"/>
  <c r="Q44"/>
  <c r="P44"/>
  <c r="O44"/>
  <c r="N44"/>
  <c r="M44"/>
  <c r="L44"/>
  <c r="K44"/>
  <c r="J44"/>
  <c r="I44"/>
  <c r="H44"/>
  <c r="G44"/>
  <c r="F44"/>
  <c r="Q43"/>
  <c r="P43"/>
  <c r="O43"/>
  <c r="N43"/>
  <c r="M43"/>
  <c r="L43"/>
  <c r="K43"/>
  <c r="J43"/>
  <c r="I43"/>
  <c r="H43"/>
  <c r="G43"/>
  <c r="F43"/>
  <c r="Q42"/>
  <c r="P42"/>
  <c r="O42"/>
  <c r="N42"/>
  <c r="M42"/>
  <c r="L42"/>
  <c r="K42"/>
  <c r="J42"/>
  <c r="I42"/>
  <c r="H42"/>
  <c r="G42"/>
  <c r="F42"/>
  <c r="Q41"/>
  <c r="P41"/>
  <c r="O41"/>
  <c r="N41"/>
  <c r="M41"/>
  <c r="L41"/>
  <c r="K41"/>
  <c r="J41"/>
  <c r="I41"/>
  <c r="H41"/>
  <c r="G41"/>
  <c r="F41"/>
  <c r="Q40"/>
  <c r="P40"/>
  <c r="O40"/>
  <c r="N40"/>
  <c r="M40"/>
  <c r="L40"/>
  <c r="K40"/>
  <c r="J40"/>
  <c r="I40"/>
  <c r="H40"/>
  <c r="G40"/>
  <c r="F40"/>
  <c r="Q39"/>
  <c r="P39"/>
  <c r="O39"/>
  <c r="N39"/>
  <c r="M39"/>
  <c r="L39"/>
  <c r="K39"/>
  <c r="J39"/>
  <c r="I39"/>
  <c r="H39"/>
  <c r="G39"/>
  <c r="F39"/>
  <c r="Q36"/>
  <c r="R36" s="1"/>
  <c r="P36"/>
  <c r="O36"/>
  <c r="N36"/>
  <c r="M36"/>
  <c r="L36"/>
  <c r="K36"/>
  <c r="J36"/>
  <c r="I36"/>
  <c r="H36"/>
  <c r="G36"/>
  <c r="F36"/>
  <c r="Q33"/>
  <c r="P33"/>
  <c r="O33"/>
  <c r="N33"/>
  <c r="M33"/>
  <c r="L33"/>
  <c r="K33"/>
  <c r="J33"/>
  <c r="I33"/>
  <c r="H33"/>
  <c r="G33"/>
  <c r="F33"/>
  <c r="Q32"/>
  <c r="P32"/>
  <c r="O32"/>
  <c r="N32"/>
  <c r="M32"/>
  <c r="L32"/>
  <c r="K32"/>
  <c r="J32"/>
  <c r="I32"/>
  <c r="H32"/>
  <c r="G32"/>
  <c r="F32"/>
  <c r="Q31"/>
  <c r="P31"/>
  <c r="O31"/>
  <c r="N31"/>
  <c r="M31"/>
  <c r="L31"/>
  <c r="K31"/>
  <c r="J31"/>
  <c r="I31"/>
  <c r="H31"/>
  <c r="G31"/>
  <c r="F31"/>
  <c r="Q30"/>
  <c r="P30"/>
  <c r="P29" s="1"/>
  <c r="O30"/>
  <c r="O29" s="1"/>
  <c r="N30"/>
  <c r="M30"/>
  <c r="L30"/>
  <c r="L29" s="1"/>
  <c r="K30"/>
  <c r="K29" s="1"/>
  <c r="J30"/>
  <c r="I30"/>
  <c r="H30"/>
  <c r="H29" s="1"/>
  <c r="G30"/>
  <c r="F30"/>
  <c r="Q27"/>
  <c r="P27"/>
  <c r="O27"/>
  <c r="N27"/>
  <c r="M27"/>
  <c r="L27"/>
  <c r="K27"/>
  <c r="J27"/>
  <c r="I27"/>
  <c r="H27"/>
  <c r="G27"/>
  <c r="F27"/>
  <c r="Q26"/>
  <c r="P26"/>
  <c r="O26"/>
  <c r="N26"/>
  <c r="M26"/>
  <c r="L26"/>
  <c r="K26"/>
  <c r="J26"/>
  <c r="I26"/>
  <c r="H26"/>
  <c r="G26"/>
  <c r="F26"/>
  <c r="Q25"/>
  <c r="R23" s="1"/>
  <c r="P25"/>
  <c r="O25"/>
  <c r="N25"/>
  <c r="M25"/>
  <c r="L25"/>
  <c r="K25"/>
  <c r="J25"/>
  <c r="I25"/>
  <c r="H25"/>
  <c r="G25"/>
  <c r="F25"/>
  <c r="Q24"/>
  <c r="R24" s="1"/>
  <c r="P24"/>
  <c r="P23" s="1"/>
  <c r="O24"/>
  <c r="N24"/>
  <c r="M24"/>
  <c r="M23" s="1"/>
  <c r="L24"/>
  <c r="L23" s="1"/>
  <c r="K24"/>
  <c r="J24"/>
  <c r="I24"/>
  <c r="I23" s="1"/>
  <c r="H24"/>
  <c r="H23" s="1"/>
  <c r="G24"/>
  <c r="F24"/>
  <c r="Q23"/>
  <c r="Q21"/>
  <c r="R21" s="1"/>
  <c r="P21"/>
  <c r="O21"/>
  <c r="N21"/>
  <c r="M21"/>
  <c r="L21"/>
  <c r="K21"/>
  <c r="J21"/>
  <c r="I21"/>
  <c r="H21"/>
  <c r="G21"/>
  <c r="F21"/>
  <c r="Q20"/>
  <c r="R20" s="1"/>
  <c r="P20"/>
  <c r="O20"/>
  <c r="N20"/>
  <c r="M20"/>
  <c r="L20"/>
  <c r="K20"/>
  <c r="J20"/>
  <c r="I20"/>
  <c r="H20"/>
  <c r="G20"/>
  <c r="F20"/>
  <c r="Q19"/>
  <c r="R19" s="1"/>
  <c r="P19"/>
  <c r="O19"/>
  <c r="N19"/>
  <c r="M19"/>
  <c r="L19"/>
  <c r="K19"/>
  <c r="J19"/>
  <c r="I19"/>
  <c r="H19"/>
  <c r="G19"/>
  <c r="F19"/>
  <c r="Q18"/>
  <c r="R18" s="1"/>
  <c r="P18"/>
  <c r="O18"/>
  <c r="N18"/>
  <c r="M18"/>
  <c r="L18"/>
  <c r="K18"/>
  <c r="J18"/>
  <c r="I18"/>
  <c r="H18"/>
  <c r="G18"/>
  <c r="F18"/>
  <c r="Q17"/>
  <c r="R17" s="1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P15"/>
  <c r="O15"/>
  <c r="N15"/>
  <c r="M15"/>
  <c r="L15"/>
  <c r="K15"/>
  <c r="J15"/>
  <c r="I15"/>
  <c r="H15"/>
  <c r="G15"/>
  <c r="F15"/>
  <c r="Q14"/>
  <c r="P14"/>
  <c r="O14"/>
  <c r="N14"/>
  <c r="M14"/>
  <c r="L14"/>
  <c r="K14"/>
  <c r="J14"/>
  <c r="I14"/>
  <c r="H14"/>
  <c r="G14"/>
  <c r="F14"/>
  <c r="Q13"/>
  <c r="Q12" s="1"/>
  <c r="P13"/>
  <c r="O13"/>
  <c r="N13"/>
  <c r="M13"/>
  <c r="M12" s="1"/>
  <c r="L13"/>
  <c r="K13"/>
  <c r="J13"/>
  <c r="I13"/>
  <c r="I12" s="1"/>
  <c r="H13"/>
  <c r="G13"/>
  <c r="F13"/>
  <c r="F12" s="1"/>
  <c r="K63" l="1"/>
  <c r="N12"/>
  <c r="J12"/>
  <c r="G60"/>
  <c r="F120"/>
  <c r="F124" s="1"/>
  <c r="J120"/>
  <c r="J124" s="1"/>
  <c r="N120"/>
  <c r="N124" s="1"/>
  <c r="H105"/>
  <c r="L105"/>
  <c r="P105"/>
  <c r="O105"/>
  <c r="H101"/>
  <c r="L101"/>
  <c r="L116" s="1"/>
  <c r="L126" s="1"/>
  <c r="L133" s="1"/>
  <c r="P101"/>
  <c r="L66"/>
  <c r="M69"/>
  <c r="J72"/>
  <c r="K75"/>
  <c r="K52" s="1"/>
  <c r="K93" s="1"/>
  <c r="O88"/>
  <c r="P66"/>
  <c r="P52" s="1"/>
  <c r="P93" s="1"/>
  <c r="I69"/>
  <c r="F72"/>
  <c r="G75"/>
  <c r="H66"/>
  <c r="H52" s="1"/>
  <c r="H93" s="1"/>
  <c r="Q69"/>
  <c r="N72"/>
  <c r="O75"/>
  <c r="G63"/>
  <c r="G52" s="1"/>
  <c r="G93" s="1"/>
  <c r="O63"/>
  <c r="O52" s="1"/>
  <c r="O93" s="1"/>
  <c r="I29"/>
  <c r="G29"/>
  <c r="M29"/>
  <c r="F29"/>
  <c r="J29"/>
  <c r="N29"/>
  <c r="K23"/>
  <c r="O23"/>
  <c r="G23"/>
  <c r="F23"/>
  <c r="J23"/>
  <c r="N23"/>
  <c r="H12"/>
  <c r="P12"/>
  <c r="L12"/>
  <c r="G12"/>
  <c r="K12"/>
  <c r="O12"/>
  <c r="Q29"/>
  <c r="Q63"/>
  <c r="L52"/>
  <c r="L93" s="1"/>
  <c r="I78"/>
  <c r="M78"/>
  <c r="M52" s="1"/>
  <c r="M93" s="1"/>
  <c r="Q78"/>
  <c r="F81"/>
  <c r="F52" s="1"/>
  <c r="F93" s="1"/>
  <c r="J81"/>
  <c r="N81"/>
  <c r="R90"/>
  <c r="R12"/>
  <c r="Q75"/>
  <c r="Q101"/>
  <c r="F105"/>
  <c r="F116" s="1"/>
  <c r="J105"/>
  <c r="J116" s="1"/>
  <c r="J126" s="1"/>
  <c r="J133" s="1"/>
  <c r="N105"/>
  <c r="N116" s="1"/>
  <c r="I105"/>
  <c r="I116" s="1"/>
  <c r="I126" s="1"/>
  <c r="I133" s="1"/>
  <c r="M105"/>
  <c r="M116" s="1"/>
  <c r="M126" s="1"/>
  <c r="M133" s="1"/>
  <c r="Q105"/>
  <c r="G116"/>
  <c r="G126" s="1"/>
  <c r="G133" s="1"/>
  <c r="K116"/>
  <c r="K126" s="1"/>
  <c r="K133" s="1"/>
  <c r="O116"/>
  <c r="O126" s="1"/>
  <c r="O133" s="1"/>
  <c r="N52" l="1"/>
  <c r="N93" s="1"/>
  <c r="H116"/>
  <c r="H126" s="1"/>
  <c r="H133" s="1"/>
  <c r="F126"/>
  <c r="F133" s="1"/>
  <c r="P116"/>
  <c r="P126" s="1"/>
  <c r="P133" s="1"/>
  <c r="N126"/>
  <c r="N133" s="1"/>
  <c r="J52"/>
  <c r="J93" s="1"/>
  <c r="I52"/>
  <c r="I93" s="1"/>
  <c r="R133"/>
  <c r="Q116"/>
  <c r="Q126" s="1"/>
  <c r="Q133" s="1"/>
  <c r="Q52"/>
  <c r="Q93" l="1"/>
  <c r="Q129" i="35" l="1"/>
  <c r="P129"/>
  <c r="P131" s="1"/>
  <c r="O129"/>
  <c r="O131" s="1"/>
  <c r="N129"/>
  <c r="N131" s="1"/>
  <c r="M129"/>
  <c r="M131" s="1"/>
  <c r="L129"/>
  <c r="L131" s="1"/>
  <c r="K129"/>
  <c r="K131" s="1"/>
  <c r="J129"/>
  <c r="J131" s="1"/>
  <c r="I129"/>
  <c r="I131" s="1"/>
  <c r="H129"/>
  <c r="H131" s="1"/>
  <c r="G129"/>
  <c r="G131" s="1"/>
  <c r="F129"/>
  <c r="F131" s="1"/>
  <c r="R128"/>
  <c r="Q122"/>
  <c r="R122" s="1"/>
  <c r="P122"/>
  <c r="O122"/>
  <c r="N122"/>
  <c r="M122"/>
  <c r="L122"/>
  <c r="K122"/>
  <c r="J122"/>
  <c r="I122"/>
  <c r="H122"/>
  <c r="G122"/>
  <c r="F122"/>
  <c r="Q121"/>
  <c r="R121" s="1"/>
  <c r="P121"/>
  <c r="O121"/>
  <c r="O120" s="1"/>
  <c r="O124" s="1"/>
  <c r="N121"/>
  <c r="M121"/>
  <c r="M120" s="1"/>
  <c r="M124" s="1"/>
  <c r="L121"/>
  <c r="K121"/>
  <c r="K120" s="1"/>
  <c r="K124" s="1"/>
  <c r="J121"/>
  <c r="I121"/>
  <c r="I120" s="1"/>
  <c r="I124" s="1"/>
  <c r="H121"/>
  <c r="G121"/>
  <c r="G120" s="1"/>
  <c r="G124" s="1"/>
  <c r="F121"/>
  <c r="Q120"/>
  <c r="R120" s="1"/>
  <c r="P120"/>
  <c r="P124" s="1"/>
  <c r="L120"/>
  <c r="L124" s="1"/>
  <c r="H120"/>
  <c r="H124" s="1"/>
  <c r="R118"/>
  <c r="Q114"/>
  <c r="R114" s="1"/>
  <c r="P114"/>
  <c r="O114"/>
  <c r="O113" s="1"/>
  <c r="N114"/>
  <c r="N113" s="1"/>
  <c r="M114"/>
  <c r="L114"/>
  <c r="L113" s="1"/>
  <c r="K114"/>
  <c r="K113" s="1"/>
  <c r="J114"/>
  <c r="J113" s="1"/>
  <c r="I114"/>
  <c r="H114"/>
  <c r="H113" s="1"/>
  <c r="G114"/>
  <c r="G113" s="1"/>
  <c r="F114"/>
  <c r="F113" s="1"/>
  <c r="Q113"/>
  <c r="P113"/>
  <c r="M113"/>
  <c r="I113"/>
  <c r="Q111"/>
  <c r="R111" s="1"/>
  <c r="P111"/>
  <c r="O111"/>
  <c r="N111"/>
  <c r="M111"/>
  <c r="L111"/>
  <c r="K111"/>
  <c r="J111"/>
  <c r="I111"/>
  <c r="H111"/>
  <c r="G111"/>
  <c r="F111"/>
  <c r="Q110"/>
  <c r="R110" s="1"/>
  <c r="P110"/>
  <c r="O110"/>
  <c r="N110"/>
  <c r="M110"/>
  <c r="L110"/>
  <c r="K110"/>
  <c r="J110"/>
  <c r="I110"/>
  <c r="H110"/>
  <c r="G110"/>
  <c r="F110"/>
  <c r="Q109"/>
  <c r="R109" s="1"/>
  <c r="P109"/>
  <c r="O109"/>
  <c r="N109"/>
  <c r="M109"/>
  <c r="L109"/>
  <c r="K109"/>
  <c r="J109"/>
  <c r="I109"/>
  <c r="H109"/>
  <c r="G109"/>
  <c r="F109"/>
  <c r="Q108"/>
  <c r="R108" s="1"/>
  <c r="P108"/>
  <c r="O108"/>
  <c r="N108"/>
  <c r="M108"/>
  <c r="L108"/>
  <c r="K108"/>
  <c r="J108"/>
  <c r="I108"/>
  <c r="H108"/>
  <c r="G108"/>
  <c r="F108"/>
  <c r="Q107"/>
  <c r="R107" s="1"/>
  <c r="P107"/>
  <c r="O107"/>
  <c r="N107"/>
  <c r="M107"/>
  <c r="L107"/>
  <c r="K107"/>
  <c r="J107"/>
  <c r="I107"/>
  <c r="H107"/>
  <c r="G107"/>
  <c r="F107"/>
  <c r="Q106"/>
  <c r="R106" s="1"/>
  <c r="P106"/>
  <c r="O106"/>
  <c r="N106"/>
  <c r="M106"/>
  <c r="L106"/>
  <c r="K106"/>
  <c r="K105" s="1"/>
  <c r="J106"/>
  <c r="I106"/>
  <c r="H106"/>
  <c r="G106"/>
  <c r="G105" s="1"/>
  <c r="F106"/>
  <c r="Q103"/>
  <c r="R103" s="1"/>
  <c r="P103"/>
  <c r="O103"/>
  <c r="N103"/>
  <c r="M103"/>
  <c r="L103"/>
  <c r="K103"/>
  <c r="J103"/>
  <c r="I103"/>
  <c r="H103"/>
  <c r="G103"/>
  <c r="F103"/>
  <c r="Q102"/>
  <c r="P102"/>
  <c r="P101" s="1"/>
  <c r="O102"/>
  <c r="N102"/>
  <c r="N101" s="1"/>
  <c r="M102"/>
  <c r="M101" s="1"/>
  <c r="L102"/>
  <c r="L101" s="1"/>
  <c r="K102"/>
  <c r="J102"/>
  <c r="J101" s="1"/>
  <c r="I102"/>
  <c r="I101" s="1"/>
  <c r="H102"/>
  <c r="H101" s="1"/>
  <c r="G102"/>
  <c r="F102"/>
  <c r="F101" s="1"/>
  <c r="R99"/>
  <c r="R98"/>
  <c r="R97"/>
  <c r="Q91"/>
  <c r="R91" s="1"/>
  <c r="P91"/>
  <c r="P90" s="1"/>
  <c r="O91"/>
  <c r="O90" s="1"/>
  <c r="N91"/>
  <c r="N90" s="1"/>
  <c r="M91"/>
  <c r="M90" s="1"/>
  <c r="L91"/>
  <c r="L90" s="1"/>
  <c r="K91"/>
  <c r="K90" s="1"/>
  <c r="J91"/>
  <c r="J90" s="1"/>
  <c r="I91"/>
  <c r="I90" s="1"/>
  <c r="H91"/>
  <c r="H90" s="1"/>
  <c r="G91"/>
  <c r="G90" s="1"/>
  <c r="F91"/>
  <c r="F90" s="1"/>
  <c r="Q90"/>
  <c r="Q87"/>
  <c r="R87" s="1"/>
  <c r="P87"/>
  <c r="O87"/>
  <c r="N87"/>
  <c r="M87"/>
  <c r="L87"/>
  <c r="K87"/>
  <c r="J87"/>
  <c r="I87"/>
  <c r="H87"/>
  <c r="G87"/>
  <c r="F87"/>
  <c r="Q86"/>
  <c r="P86"/>
  <c r="P88" s="1"/>
  <c r="O86"/>
  <c r="O88" s="1"/>
  <c r="N86"/>
  <c r="N88" s="1"/>
  <c r="M86"/>
  <c r="M88" s="1"/>
  <c r="L86"/>
  <c r="L88" s="1"/>
  <c r="K86"/>
  <c r="K88" s="1"/>
  <c r="J86"/>
  <c r="J88" s="1"/>
  <c r="I86"/>
  <c r="I88" s="1"/>
  <c r="H86"/>
  <c r="H88" s="1"/>
  <c r="G86"/>
  <c r="G88" s="1"/>
  <c r="F86"/>
  <c r="F88" s="1"/>
  <c r="Q85"/>
  <c r="R85" s="1"/>
  <c r="P85"/>
  <c r="O85"/>
  <c r="N85"/>
  <c r="M85"/>
  <c r="L85"/>
  <c r="K85"/>
  <c r="J85"/>
  <c r="I85"/>
  <c r="H85"/>
  <c r="G85"/>
  <c r="F85"/>
  <c r="Q83"/>
  <c r="R83" s="1"/>
  <c r="P83"/>
  <c r="O83"/>
  <c r="N83"/>
  <c r="M83"/>
  <c r="L83"/>
  <c r="K83"/>
  <c r="J83"/>
  <c r="I83"/>
  <c r="H83"/>
  <c r="G83"/>
  <c r="F83"/>
  <c r="Q82"/>
  <c r="Q84" s="1"/>
  <c r="R84" s="1"/>
  <c r="P82"/>
  <c r="O82"/>
  <c r="O84" s="1"/>
  <c r="N82"/>
  <c r="N84" s="1"/>
  <c r="M82"/>
  <c r="M84" s="1"/>
  <c r="L82"/>
  <c r="K82"/>
  <c r="K84" s="1"/>
  <c r="J82"/>
  <c r="J84" s="1"/>
  <c r="I82"/>
  <c r="I84" s="1"/>
  <c r="H82"/>
  <c r="G82"/>
  <c r="G84" s="1"/>
  <c r="F82"/>
  <c r="F84" s="1"/>
  <c r="Q80"/>
  <c r="R80" s="1"/>
  <c r="P80"/>
  <c r="O80"/>
  <c r="N80"/>
  <c r="M80"/>
  <c r="L80"/>
  <c r="K80"/>
  <c r="J80"/>
  <c r="I80"/>
  <c r="H80"/>
  <c r="G80"/>
  <c r="F80"/>
  <c r="Q79"/>
  <c r="Q81" s="1"/>
  <c r="R81" s="1"/>
  <c r="P79"/>
  <c r="P81" s="1"/>
  <c r="O79"/>
  <c r="O81" s="1"/>
  <c r="N79"/>
  <c r="M79"/>
  <c r="M81" s="1"/>
  <c r="L79"/>
  <c r="L81" s="1"/>
  <c r="K79"/>
  <c r="K81" s="1"/>
  <c r="J79"/>
  <c r="I79"/>
  <c r="I81" s="1"/>
  <c r="H79"/>
  <c r="H81" s="1"/>
  <c r="G79"/>
  <c r="G81" s="1"/>
  <c r="F79"/>
  <c r="Q77"/>
  <c r="R77" s="1"/>
  <c r="P77"/>
  <c r="O77"/>
  <c r="N77"/>
  <c r="M77"/>
  <c r="L77"/>
  <c r="K77"/>
  <c r="J77"/>
  <c r="I77"/>
  <c r="H77"/>
  <c r="G77"/>
  <c r="F77"/>
  <c r="Q76"/>
  <c r="R76" s="1"/>
  <c r="P76"/>
  <c r="P78" s="1"/>
  <c r="O76"/>
  <c r="O78" s="1"/>
  <c r="N76"/>
  <c r="N78" s="1"/>
  <c r="M76"/>
  <c r="L76"/>
  <c r="L78" s="1"/>
  <c r="K76"/>
  <c r="K78" s="1"/>
  <c r="J76"/>
  <c r="J78" s="1"/>
  <c r="I76"/>
  <c r="H76"/>
  <c r="G76"/>
  <c r="G78" s="1"/>
  <c r="F76"/>
  <c r="F78" s="1"/>
  <c r="Q74"/>
  <c r="R74" s="1"/>
  <c r="P74"/>
  <c r="O74"/>
  <c r="N74"/>
  <c r="M74"/>
  <c r="L74"/>
  <c r="K74"/>
  <c r="J74"/>
  <c r="I74"/>
  <c r="H74"/>
  <c r="G74"/>
  <c r="F74"/>
  <c r="Q73"/>
  <c r="P73"/>
  <c r="P75" s="1"/>
  <c r="O73"/>
  <c r="O75" s="1"/>
  <c r="N73"/>
  <c r="N75" s="1"/>
  <c r="M73"/>
  <c r="M75" s="1"/>
  <c r="L73"/>
  <c r="L75" s="1"/>
  <c r="K73"/>
  <c r="K75" s="1"/>
  <c r="J73"/>
  <c r="J75" s="1"/>
  <c r="I73"/>
  <c r="I75" s="1"/>
  <c r="H73"/>
  <c r="H75" s="1"/>
  <c r="G73"/>
  <c r="G75" s="1"/>
  <c r="F73"/>
  <c r="F75" s="1"/>
  <c r="Q71"/>
  <c r="R71" s="1"/>
  <c r="P71"/>
  <c r="O71"/>
  <c r="N71"/>
  <c r="M71"/>
  <c r="L71"/>
  <c r="K71"/>
  <c r="J71"/>
  <c r="I71"/>
  <c r="H71"/>
  <c r="G71"/>
  <c r="F71"/>
  <c r="Q70"/>
  <c r="R70" s="1"/>
  <c r="P70"/>
  <c r="O70"/>
  <c r="O72" s="1"/>
  <c r="N70"/>
  <c r="N72" s="1"/>
  <c r="M70"/>
  <c r="M72" s="1"/>
  <c r="L70"/>
  <c r="K70"/>
  <c r="K72" s="1"/>
  <c r="J70"/>
  <c r="J72" s="1"/>
  <c r="I70"/>
  <c r="I72" s="1"/>
  <c r="H70"/>
  <c r="G70"/>
  <c r="G72" s="1"/>
  <c r="F70"/>
  <c r="F72" s="1"/>
  <c r="Q68"/>
  <c r="R68" s="1"/>
  <c r="P68"/>
  <c r="O68"/>
  <c r="N68"/>
  <c r="M68"/>
  <c r="L68"/>
  <c r="K68"/>
  <c r="J68"/>
  <c r="I68"/>
  <c r="H68"/>
  <c r="G68"/>
  <c r="F68"/>
  <c r="Q67"/>
  <c r="R67" s="1"/>
  <c r="P67"/>
  <c r="P69" s="1"/>
  <c r="O67"/>
  <c r="O69" s="1"/>
  <c r="N67"/>
  <c r="N69" s="1"/>
  <c r="M67"/>
  <c r="M69" s="1"/>
  <c r="L67"/>
  <c r="L69" s="1"/>
  <c r="K67"/>
  <c r="K69" s="1"/>
  <c r="J67"/>
  <c r="J69" s="1"/>
  <c r="I67"/>
  <c r="I69" s="1"/>
  <c r="H67"/>
  <c r="H69" s="1"/>
  <c r="G67"/>
  <c r="G69" s="1"/>
  <c r="F67"/>
  <c r="F69" s="1"/>
  <c r="Q65"/>
  <c r="R65" s="1"/>
  <c r="P65"/>
  <c r="O65"/>
  <c r="N65"/>
  <c r="M65"/>
  <c r="L65"/>
  <c r="K65"/>
  <c r="J65"/>
  <c r="I65"/>
  <c r="H65"/>
  <c r="G65"/>
  <c r="F65"/>
  <c r="Q64"/>
  <c r="R64" s="1"/>
  <c r="P64"/>
  <c r="O64"/>
  <c r="N64"/>
  <c r="M64"/>
  <c r="L64"/>
  <c r="K64"/>
  <c r="J64"/>
  <c r="I64"/>
  <c r="H64"/>
  <c r="G64"/>
  <c r="F64"/>
  <c r="Q62"/>
  <c r="R62" s="1"/>
  <c r="P62"/>
  <c r="O62"/>
  <c r="N62"/>
  <c r="M62"/>
  <c r="L62"/>
  <c r="K62"/>
  <c r="J62"/>
  <c r="I62"/>
  <c r="H62"/>
  <c r="G62"/>
  <c r="F62"/>
  <c r="Q61"/>
  <c r="P61"/>
  <c r="P63" s="1"/>
  <c r="O61"/>
  <c r="O63" s="1"/>
  <c r="N61"/>
  <c r="N63" s="1"/>
  <c r="M61"/>
  <c r="M63" s="1"/>
  <c r="L61"/>
  <c r="L63" s="1"/>
  <c r="K61"/>
  <c r="K63" s="1"/>
  <c r="J61"/>
  <c r="J63" s="1"/>
  <c r="I61"/>
  <c r="I63" s="1"/>
  <c r="H61"/>
  <c r="G61"/>
  <c r="G63" s="1"/>
  <c r="F61"/>
  <c r="F63" s="1"/>
  <c r="Q59"/>
  <c r="R59" s="1"/>
  <c r="P59"/>
  <c r="O59"/>
  <c r="N59"/>
  <c r="M59"/>
  <c r="L59"/>
  <c r="K59"/>
  <c r="J59"/>
  <c r="I59"/>
  <c r="H59"/>
  <c r="G59"/>
  <c r="F59"/>
  <c r="Q58"/>
  <c r="Q60" s="1"/>
  <c r="R60" s="1"/>
  <c r="P58"/>
  <c r="P60" s="1"/>
  <c r="O58"/>
  <c r="N58"/>
  <c r="N60" s="1"/>
  <c r="M58"/>
  <c r="M60" s="1"/>
  <c r="L58"/>
  <c r="L60" s="1"/>
  <c r="K58"/>
  <c r="J58"/>
  <c r="I58"/>
  <c r="I60" s="1"/>
  <c r="H58"/>
  <c r="H60" s="1"/>
  <c r="G58"/>
  <c r="F58"/>
  <c r="Q57"/>
  <c r="R57" s="1"/>
  <c r="P57"/>
  <c r="O57"/>
  <c r="N57"/>
  <c r="M57"/>
  <c r="L57"/>
  <c r="K57"/>
  <c r="J57"/>
  <c r="I57"/>
  <c r="H57"/>
  <c r="G57"/>
  <c r="F57"/>
  <c r="Q55"/>
  <c r="R55" s="1"/>
  <c r="P55"/>
  <c r="O55"/>
  <c r="N55"/>
  <c r="M55"/>
  <c r="L55"/>
  <c r="K55"/>
  <c r="J55"/>
  <c r="I55"/>
  <c r="H55"/>
  <c r="G55"/>
  <c r="F55"/>
  <c r="Q54"/>
  <c r="R54" s="1"/>
  <c r="P54"/>
  <c r="O54"/>
  <c r="O56" s="1"/>
  <c r="N54"/>
  <c r="M54"/>
  <c r="M56" s="1"/>
  <c r="L54"/>
  <c r="K54"/>
  <c r="K56" s="1"/>
  <c r="J54"/>
  <c r="J56" s="1"/>
  <c r="I54"/>
  <c r="I56" s="1"/>
  <c r="H54"/>
  <c r="G54"/>
  <c r="G56" s="1"/>
  <c r="F54"/>
  <c r="Q53"/>
  <c r="R53" s="1"/>
  <c r="P53"/>
  <c r="O53"/>
  <c r="N53"/>
  <c r="M53"/>
  <c r="L53"/>
  <c r="K53"/>
  <c r="J53"/>
  <c r="I53"/>
  <c r="H53"/>
  <c r="G53"/>
  <c r="F53"/>
  <c r="Q46"/>
  <c r="R46" s="1"/>
  <c r="P46"/>
  <c r="O46"/>
  <c r="N46"/>
  <c r="M46"/>
  <c r="L46"/>
  <c r="K46"/>
  <c r="J46"/>
  <c r="I46"/>
  <c r="H46"/>
  <c r="G46"/>
  <c r="F46"/>
  <c r="Q45"/>
  <c r="R45" s="1"/>
  <c r="P45"/>
  <c r="O45"/>
  <c r="N45"/>
  <c r="M45"/>
  <c r="L45"/>
  <c r="K45"/>
  <c r="J45"/>
  <c r="I45"/>
  <c r="H45"/>
  <c r="G45"/>
  <c r="F45"/>
  <c r="Q44"/>
  <c r="R44" s="1"/>
  <c r="P44"/>
  <c r="O44"/>
  <c r="N44"/>
  <c r="M44"/>
  <c r="L44"/>
  <c r="K44"/>
  <c r="J44"/>
  <c r="I44"/>
  <c r="H44"/>
  <c r="G44"/>
  <c r="F44"/>
  <c r="Q43"/>
  <c r="P43"/>
  <c r="O43"/>
  <c r="N43"/>
  <c r="M43"/>
  <c r="L43"/>
  <c r="K43"/>
  <c r="J43"/>
  <c r="I43"/>
  <c r="H43"/>
  <c r="G43"/>
  <c r="F43"/>
  <c r="Q42"/>
  <c r="R42" s="1"/>
  <c r="P42"/>
  <c r="O42"/>
  <c r="N42"/>
  <c r="M42"/>
  <c r="L42"/>
  <c r="K42"/>
  <c r="J42"/>
  <c r="I42"/>
  <c r="H42"/>
  <c r="G42"/>
  <c r="F42"/>
  <c r="Q41"/>
  <c r="R41" s="1"/>
  <c r="P41"/>
  <c r="O41"/>
  <c r="N41"/>
  <c r="M41"/>
  <c r="L41"/>
  <c r="K41"/>
  <c r="J41"/>
  <c r="I41"/>
  <c r="H41"/>
  <c r="G41"/>
  <c r="F41"/>
  <c r="Q40"/>
  <c r="R40" s="1"/>
  <c r="P40"/>
  <c r="O40"/>
  <c r="N40"/>
  <c r="M40"/>
  <c r="L40"/>
  <c r="K40"/>
  <c r="J40"/>
  <c r="I40"/>
  <c r="H40"/>
  <c r="G40"/>
  <c r="F40"/>
  <c r="Q39"/>
  <c r="R39" s="1"/>
  <c r="P39"/>
  <c r="O39"/>
  <c r="N39"/>
  <c r="M39"/>
  <c r="L39"/>
  <c r="K39"/>
  <c r="J39"/>
  <c r="I39"/>
  <c r="H39"/>
  <c r="G39"/>
  <c r="F39"/>
  <c r="Q36"/>
  <c r="R36" s="1"/>
  <c r="P36"/>
  <c r="O36"/>
  <c r="N36"/>
  <c r="M36"/>
  <c r="L36"/>
  <c r="K36"/>
  <c r="J36"/>
  <c r="I36"/>
  <c r="H36"/>
  <c r="G36"/>
  <c r="F36"/>
  <c r="Q33"/>
  <c r="R33" s="1"/>
  <c r="P33"/>
  <c r="O33"/>
  <c r="N33"/>
  <c r="M33"/>
  <c r="L33"/>
  <c r="K33"/>
  <c r="J33"/>
  <c r="I33"/>
  <c r="H33"/>
  <c r="G33"/>
  <c r="F33"/>
  <c r="Q32"/>
  <c r="R32" s="1"/>
  <c r="P32"/>
  <c r="O32"/>
  <c r="N32"/>
  <c r="M32"/>
  <c r="L32"/>
  <c r="K32"/>
  <c r="J32"/>
  <c r="I32"/>
  <c r="H32"/>
  <c r="G32"/>
  <c r="F32"/>
  <c r="Q31"/>
  <c r="R31" s="1"/>
  <c r="P31"/>
  <c r="O31"/>
  <c r="N31"/>
  <c r="M31"/>
  <c r="L31"/>
  <c r="K31"/>
  <c r="J31"/>
  <c r="I31"/>
  <c r="H31"/>
  <c r="G31"/>
  <c r="F31"/>
  <c r="Q30"/>
  <c r="R30" s="1"/>
  <c r="P30"/>
  <c r="P29" s="1"/>
  <c r="O30"/>
  <c r="N30"/>
  <c r="M30"/>
  <c r="M29" s="1"/>
  <c r="L30"/>
  <c r="L29" s="1"/>
  <c r="K30"/>
  <c r="J30"/>
  <c r="I30"/>
  <c r="I29" s="1"/>
  <c r="H30"/>
  <c r="H29" s="1"/>
  <c r="G30"/>
  <c r="F30"/>
  <c r="Q29"/>
  <c r="R29" s="1"/>
  <c r="Q27"/>
  <c r="R27" s="1"/>
  <c r="P27"/>
  <c r="O27"/>
  <c r="N27"/>
  <c r="M27"/>
  <c r="L27"/>
  <c r="K27"/>
  <c r="J27"/>
  <c r="I27"/>
  <c r="H27"/>
  <c r="G27"/>
  <c r="F27"/>
  <c r="Q25"/>
  <c r="R25" s="1"/>
  <c r="P25"/>
  <c r="O25"/>
  <c r="N25"/>
  <c r="M25"/>
  <c r="L25"/>
  <c r="K25"/>
  <c r="J25"/>
  <c r="I25"/>
  <c r="H25"/>
  <c r="G25"/>
  <c r="F25"/>
  <c r="Q24"/>
  <c r="P24"/>
  <c r="O24"/>
  <c r="N24"/>
  <c r="M24"/>
  <c r="L24"/>
  <c r="K24"/>
  <c r="J24"/>
  <c r="I24"/>
  <c r="H24"/>
  <c r="G24"/>
  <c r="F24"/>
  <c r="Q21"/>
  <c r="R21" s="1"/>
  <c r="P21"/>
  <c r="O21"/>
  <c r="N21"/>
  <c r="M21"/>
  <c r="L21"/>
  <c r="K21"/>
  <c r="J21"/>
  <c r="I21"/>
  <c r="H21"/>
  <c r="G21"/>
  <c r="F21"/>
  <c r="Q20"/>
  <c r="R20" s="1"/>
  <c r="P20"/>
  <c r="O20"/>
  <c r="N20"/>
  <c r="M20"/>
  <c r="L20"/>
  <c r="K20"/>
  <c r="J20"/>
  <c r="I20"/>
  <c r="H20"/>
  <c r="G20"/>
  <c r="F20"/>
  <c r="Q19"/>
  <c r="R19" s="1"/>
  <c r="P19"/>
  <c r="O19"/>
  <c r="N19"/>
  <c r="M19"/>
  <c r="L19"/>
  <c r="K19"/>
  <c r="J19"/>
  <c r="I19"/>
  <c r="H19"/>
  <c r="G19"/>
  <c r="F19"/>
  <c r="Q18"/>
  <c r="R18" s="1"/>
  <c r="P18"/>
  <c r="O18"/>
  <c r="N18"/>
  <c r="M18"/>
  <c r="L18"/>
  <c r="K18"/>
  <c r="J18"/>
  <c r="I18"/>
  <c r="H18"/>
  <c r="G18"/>
  <c r="F18"/>
  <c r="Q17"/>
  <c r="R17" s="1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R15" s="1"/>
  <c r="P15"/>
  <c r="O15"/>
  <c r="N15"/>
  <c r="M15"/>
  <c r="L15"/>
  <c r="K15"/>
  <c r="J15"/>
  <c r="I15"/>
  <c r="H15"/>
  <c r="G15"/>
  <c r="F15"/>
  <c r="Q14"/>
  <c r="P14"/>
  <c r="O14"/>
  <c r="N14"/>
  <c r="M14"/>
  <c r="L14"/>
  <c r="K14"/>
  <c r="J14"/>
  <c r="I14"/>
  <c r="H14"/>
  <c r="G14"/>
  <c r="F14"/>
  <c r="Q13"/>
  <c r="R13" s="1"/>
  <c r="P13"/>
  <c r="O13"/>
  <c r="N13"/>
  <c r="M13"/>
  <c r="L13"/>
  <c r="K13"/>
  <c r="J13"/>
  <c r="I13"/>
  <c r="H13"/>
  <c r="G13"/>
  <c r="F13"/>
  <c r="G17" i="7"/>
  <c r="G15"/>
  <c r="G10"/>
  <c r="H66" i="35" l="1"/>
  <c r="L66"/>
  <c r="P66"/>
  <c r="F66"/>
  <c r="J66"/>
  <c r="N66"/>
  <c r="R129"/>
  <c r="R131" s="1"/>
  <c r="F60"/>
  <c r="G12"/>
  <c r="K12"/>
  <c r="O12"/>
  <c r="F56"/>
  <c r="N56"/>
  <c r="R82"/>
  <c r="Q56"/>
  <c r="R56" s="1"/>
  <c r="I12"/>
  <c r="M12"/>
  <c r="Q12"/>
  <c r="J60"/>
  <c r="R58"/>
  <c r="I66"/>
  <c r="M66"/>
  <c r="Q66"/>
  <c r="R66" s="1"/>
  <c r="R79"/>
  <c r="H84"/>
  <c r="L84"/>
  <c r="P84"/>
  <c r="O29"/>
  <c r="R43"/>
  <c r="G29"/>
  <c r="Q72"/>
  <c r="R72" s="1"/>
  <c r="K29"/>
  <c r="H78"/>
  <c r="G66"/>
  <c r="K66"/>
  <c r="O66"/>
  <c r="Q69"/>
  <c r="R69" s="1"/>
  <c r="R86"/>
  <c r="Q88"/>
  <c r="R88" s="1"/>
  <c r="Q124"/>
  <c r="R124" s="1"/>
  <c r="H12"/>
  <c r="L12"/>
  <c r="P12"/>
  <c r="H56"/>
  <c r="L56"/>
  <c r="P56"/>
  <c r="O105"/>
  <c r="F120"/>
  <c r="F124" s="1"/>
  <c r="J120"/>
  <c r="J124" s="1"/>
  <c r="N120"/>
  <c r="N124" s="1"/>
  <c r="Q131"/>
  <c r="F12"/>
  <c r="J12"/>
  <c r="N12"/>
  <c r="G101"/>
  <c r="G116" s="1"/>
  <c r="G126" s="1"/>
  <c r="G133" s="1"/>
  <c r="K101"/>
  <c r="K116" s="1"/>
  <c r="K126" s="1"/>
  <c r="K133" s="1"/>
  <c r="O101"/>
  <c r="H105"/>
  <c r="H116" s="1"/>
  <c r="H126" s="1"/>
  <c r="H133" s="1"/>
  <c r="L105"/>
  <c r="L116" s="1"/>
  <c r="L126" s="1"/>
  <c r="L133" s="1"/>
  <c r="P105"/>
  <c r="P116" s="1"/>
  <c r="P126" s="1"/>
  <c r="P133" s="1"/>
  <c r="F29"/>
  <c r="J29"/>
  <c r="N29"/>
  <c r="G60"/>
  <c r="K60"/>
  <c r="O60"/>
  <c r="H72"/>
  <c r="L72"/>
  <c r="P72"/>
  <c r="R14"/>
  <c r="R12" s="1"/>
  <c r="R24"/>
  <c r="Q63"/>
  <c r="R63" s="1"/>
  <c r="R61"/>
  <c r="R90"/>
  <c r="H63"/>
  <c r="I105"/>
  <c r="I116" s="1"/>
  <c r="I126" s="1"/>
  <c r="I133" s="1"/>
  <c r="M105"/>
  <c r="M116" s="1"/>
  <c r="M126" s="1"/>
  <c r="M133" s="1"/>
  <c r="Q105"/>
  <c r="R105" s="1"/>
  <c r="Q75"/>
  <c r="R75" s="1"/>
  <c r="R73"/>
  <c r="I78"/>
  <c r="M78"/>
  <c r="Q78"/>
  <c r="R78" s="1"/>
  <c r="F81"/>
  <c r="J81"/>
  <c r="N81"/>
  <c r="Q101"/>
  <c r="R101" s="1"/>
  <c r="R102"/>
  <c r="F105"/>
  <c r="F116" s="1"/>
  <c r="J105"/>
  <c r="J116" s="1"/>
  <c r="J126" s="1"/>
  <c r="J133" s="1"/>
  <c r="N105"/>
  <c r="N116" s="1"/>
  <c r="R113"/>
  <c r="Q129" i="32"/>
  <c r="R129" s="1"/>
  <c r="R131" s="1"/>
  <c r="P129"/>
  <c r="P131" s="1"/>
  <c r="O129"/>
  <c r="O131" s="1"/>
  <c r="N129"/>
  <c r="N131" s="1"/>
  <c r="M129"/>
  <c r="M131" s="1"/>
  <c r="L129"/>
  <c r="L131" s="1"/>
  <c r="K129"/>
  <c r="K131" s="1"/>
  <c r="J129"/>
  <c r="J131" s="1"/>
  <c r="I129"/>
  <c r="I131" s="1"/>
  <c r="H129"/>
  <c r="H131" s="1"/>
  <c r="G129"/>
  <c r="G131" s="1"/>
  <c r="F129"/>
  <c r="F131" s="1"/>
  <c r="R128"/>
  <c r="Q122"/>
  <c r="R122" s="1"/>
  <c r="P122"/>
  <c r="O122"/>
  <c r="N122"/>
  <c r="M122"/>
  <c r="L122"/>
  <c r="K122"/>
  <c r="J122"/>
  <c r="I122"/>
  <c r="H122"/>
  <c r="G122"/>
  <c r="F122"/>
  <c r="Q121"/>
  <c r="R121" s="1"/>
  <c r="P121"/>
  <c r="O121"/>
  <c r="O120" s="1"/>
  <c r="O124" s="1"/>
  <c r="N121"/>
  <c r="M121"/>
  <c r="M120" s="1"/>
  <c r="M124" s="1"/>
  <c r="L121"/>
  <c r="L120" s="1"/>
  <c r="L124" s="1"/>
  <c r="K121"/>
  <c r="K120" s="1"/>
  <c r="K124" s="1"/>
  <c r="J121"/>
  <c r="I121"/>
  <c r="I120" s="1"/>
  <c r="I124" s="1"/>
  <c r="H121"/>
  <c r="H120" s="1"/>
  <c r="H124" s="1"/>
  <c r="G121"/>
  <c r="F121"/>
  <c r="Q120"/>
  <c r="R120" s="1"/>
  <c r="P120"/>
  <c r="P124" s="1"/>
  <c r="R118"/>
  <c r="Q114"/>
  <c r="R114" s="1"/>
  <c r="P114"/>
  <c r="O114"/>
  <c r="O113" s="1"/>
  <c r="N114"/>
  <c r="N113" s="1"/>
  <c r="M114"/>
  <c r="M113" s="1"/>
  <c r="L114"/>
  <c r="L113" s="1"/>
  <c r="K114"/>
  <c r="K113" s="1"/>
  <c r="J114"/>
  <c r="J113" s="1"/>
  <c r="I114"/>
  <c r="I113" s="1"/>
  <c r="H114"/>
  <c r="H113" s="1"/>
  <c r="G114"/>
  <c r="G113" s="1"/>
  <c r="F114"/>
  <c r="F113" s="1"/>
  <c r="Q113"/>
  <c r="P113"/>
  <c r="Q111"/>
  <c r="R111" s="1"/>
  <c r="P111"/>
  <c r="O111"/>
  <c r="N111"/>
  <c r="M111"/>
  <c r="L111"/>
  <c r="K111"/>
  <c r="J111"/>
  <c r="I111"/>
  <c r="H111"/>
  <c r="G111"/>
  <c r="F111"/>
  <c r="Q110"/>
  <c r="R110" s="1"/>
  <c r="P110"/>
  <c r="O110"/>
  <c r="N110"/>
  <c r="M110"/>
  <c r="L110"/>
  <c r="K110"/>
  <c r="J110"/>
  <c r="I110"/>
  <c r="H110"/>
  <c r="G110"/>
  <c r="F110"/>
  <c r="Q109"/>
  <c r="R109" s="1"/>
  <c r="P109"/>
  <c r="O109"/>
  <c r="N109"/>
  <c r="M109"/>
  <c r="L109"/>
  <c r="K109"/>
  <c r="J109"/>
  <c r="I109"/>
  <c r="H109"/>
  <c r="G109"/>
  <c r="F109"/>
  <c r="Q108"/>
  <c r="R108" s="1"/>
  <c r="P108"/>
  <c r="O108"/>
  <c r="N108"/>
  <c r="M108"/>
  <c r="L108"/>
  <c r="K108"/>
  <c r="J108"/>
  <c r="I108"/>
  <c r="H108"/>
  <c r="G108"/>
  <c r="F108"/>
  <c r="Q107"/>
  <c r="P107"/>
  <c r="O107"/>
  <c r="N107"/>
  <c r="M107"/>
  <c r="L107"/>
  <c r="K107"/>
  <c r="J107"/>
  <c r="I107"/>
  <c r="H107"/>
  <c r="G107"/>
  <c r="F107"/>
  <c r="Q106"/>
  <c r="R106" s="1"/>
  <c r="P106"/>
  <c r="O106"/>
  <c r="N106"/>
  <c r="M106"/>
  <c r="L106"/>
  <c r="K106"/>
  <c r="J106"/>
  <c r="I106"/>
  <c r="H106"/>
  <c r="G106"/>
  <c r="F106"/>
  <c r="Q103"/>
  <c r="R103" s="1"/>
  <c r="P103"/>
  <c r="O103"/>
  <c r="N103"/>
  <c r="M103"/>
  <c r="L103"/>
  <c r="K103"/>
  <c r="J103"/>
  <c r="I103"/>
  <c r="H103"/>
  <c r="G103"/>
  <c r="F103"/>
  <c r="Q102"/>
  <c r="Q101" s="1"/>
  <c r="P102"/>
  <c r="O102"/>
  <c r="O101" s="1"/>
  <c r="N102"/>
  <c r="N101" s="1"/>
  <c r="M102"/>
  <c r="M101" s="1"/>
  <c r="L102"/>
  <c r="K102"/>
  <c r="K101" s="1"/>
  <c r="J102"/>
  <c r="J101" s="1"/>
  <c r="I102"/>
  <c r="I101" s="1"/>
  <c r="H102"/>
  <c r="G102"/>
  <c r="G101" s="1"/>
  <c r="F102"/>
  <c r="F101" s="1"/>
  <c r="R101"/>
  <c r="R99"/>
  <c r="R98"/>
  <c r="R97"/>
  <c r="Q91"/>
  <c r="R91" s="1"/>
  <c r="P91"/>
  <c r="P90" s="1"/>
  <c r="O91"/>
  <c r="O90" s="1"/>
  <c r="N91"/>
  <c r="N90" s="1"/>
  <c r="M91"/>
  <c r="M90" s="1"/>
  <c r="L91"/>
  <c r="L90" s="1"/>
  <c r="K91"/>
  <c r="K90" s="1"/>
  <c r="J91"/>
  <c r="J90" s="1"/>
  <c r="I91"/>
  <c r="I90" s="1"/>
  <c r="H91"/>
  <c r="H90" s="1"/>
  <c r="G91"/>
  <c r="G90" s="1"/>
  <c r="F91"/>
  <c r="F90" s="1"/>
  <c r="Q90"/>
  <c r="R90" s="1"/>
  <c r="Q87"/>
  <c r="R87" s="1"/>
  <c r="P87"/>
  <c r="O87"/>
  <c r="N87"/>
  <c r="M87"/>
  <c r="L87"/>
  <c r="K87"/>
  <c r="J87"/>
  <c r="I87"/>
  <c r="H87"/>
  <c r="G87"/>
  <c r="F87"/>
  <c r="Q86"/>
  <c r="P86"/>
  <c r="P88" s="1"/>
  <c r="O86"/>
  <c r="N86"/>
  <c r="N88" s="1"/>
  <c r="M86"/>
  <c r="M88" s="1"/>
  <c r="L86"/>
  <c r="L88" s="1"/>
  <c r="K86"/>
  <c r="K88" s="1"/>
  <c r="J86"/>
  <c r="J88" s="1"/>
  <c r="I86"/>
  <c r="I88" s="1"/>
  <c r="H86"/>
  <c r="H88" s="1"/>
  <c r="G86"/>
  <c r="F86"/>
  <c r="F88" s="1"/>
  <c r="Q85"/>
  <c r="R85" s="1"/>
  <c r="P85"/>
  <c r="O85"/>
  <c r="N85"/>
  <c r="M85"/>
  <c r="L85"/>
  <c r="K85"/>
  <c r="J85"/>
  <c r="I85"/>
  <c r="H85"/>
  <c r="G85"/>
  <c r="F85"/>
  <c r="Q83"/>
  <c r="R83" s="1"/>
  <c r="P83"/>
  <c r="O83"/>
  <c r="N83"/>
  <c r="M83"/>
  <c r="L83"/>
  <c r="K83"/>
  <c r="J83"/>
  <c r="I83"/>
  <c r="H83"/>
  <c r="G83"/>
  <c r="F83"/>
  <c r="Q82"/>
  <c r="P82"/>
  <c r="P84" s="1"/>
  <c r="O82"/>
  <c r="N82"/>
  <c r="N84" s="1"/>
  <c r="M82"/>
  <c r="M84" s="1"/>
  <c r="L82"/>
  <c r="L84" s="1"/>
  <c r="K82"/>
  <c r="K84" s="1"/>
  <c r="J82"/>
  <c r="J84" s="1"/>
  <c r="I82"/>
  <c r="I84" s="1"/>
  <c r="H82"/>
  <c r="H84" s="1"/>
  <c r="G82"/>
  <c r="F82"/>
  <c r="F84" s="1"/>
  <c r="Q80"/>
  <c r="R80" s="1"/>
  <c r="P80"/>
  <c r="O80"/>
  <c r="N80"/>
  <c r="M80"/>
  <c r="L80"/>
  <c r="K80"/>
  <c r="J80"/>
  <c r="I80"/>
  <c r="H80"/>
  <c r="G80"/>
  <c r="F80"/>
  <c r="Q79"/>
  <c r="R79" s="1"/>
  <c r="P79"/>
  <c r="P81" s="1"/>
  <c r="O79"/>
  <c r="O81" s="1"/>
  <c r="N79"/>
  <c r="M79"/>
  <c r="M81" s="1"/>
  <c r="L79"/>
  <c r="L81" s="1"/>
  <c r="K79"/>
  <c r="K81" s="1"/>
  <c r="J79"/>
  <c r="J81" s="1"/>
  <c r="I79"/>
  <c r="I81" s="1"/>
  <c r="H79"/>
  <c r="H81" s="1"/>
  <c r="G79"/>
  <c r="G81" s="1"/>
  <c r="F79"/>
  <c r="Q77"/>
  <c r="R77" s="1"/>
  <c r="P77"/>
  <c r="O77"/>
  <c r="N77"/>
  <c r="M77"/>
  <c r="L77"/>
  <c r="K77"/>
  <c r="J77"/>
  <c r="I77"/>
  <c r="H77"/>
  <c r="G77"/>
  <c r="F77"/>
  <c r="Q76"/>
  <c r="Q78" s="1"/>
  <c r="R78" s="1"/>
  <c r="P76"/>
  <c r="P78" s="1"/>
  <c r="O76"/>
  <c r="O78" s="1"/>
  <c r="N76"/>
  <c r="M76"/>
  <c r="L76"/>
  <c r="L78" s="1"/>
  <c r="K76"/>
  <c r="K78" s="1"/>
  <c r="J76"/>
  <c r="I76"/>
  <c r="H76"/>
  <c r="H78" s="1"/>
  <c r="G76"/>
  <c r="G78" s="1"/>
  <c r="F76"/>
  <c r="Q74"/>
  <c r="R74" s="1"/>
  <c r="P74"/>
  <c r="O74"/>
  <c r="N74"/>
  <c r="M74"/>
  <c r="L74"/>
  <c r="K74"/>
  <c r="J74"/>
  <c r="I74"/>
  <c r="H74"/>
  <c r="G74"/>
  <c r="F74"/>
  <c r="Q73"/>
  <c r="Q75" s="1"/>
  <c r="R75" s="1"/>
  <c r="P73"/>
  <c r="P75" s="1"/>
  <c r="O73"/>
  <c r="O75" s="1"/>
  <c r="N73"/>
  <c r="N75" s="1"/>
  <c r="M73"/>
  <c r="M75" s="1"/>
  <c r="L73"/>
  <c r="K73"/>
  <c r="K75" s="1"/>
  <c r="J73"/>
  <c r="J75" s="1"/>
  <c r="I73"/>
  <c r="I75" s="1"/>
  <c r="H73"/>
  <c r="H75" s="1"/>
  <c r="G73"/>
  <c r="G75" s="1"/>
  <c r="F73"/>
  <c r="F75" s="1"/>
  <c r="Q71"/>
  <c r="R71" s="1"/>
  <c r="P71"/>
  <c r="O71"/>
  <c r="N71"/>
  <c r="M71"/>
  <c r="L71"/>
  <c r="K71"/>
  <c r="J71"/>
  <c r="I71"/>
  <c r="H71"/>
  <c r="G71"/>
  <c r="F71"/>
  <c r="Q70"/>
  <c r="P70"/>
  <c r="P72" s="1"/>
  <c r="O70"/>
  <c r="N70"/>
  <c r="N72" s="1"/>
  <c r="M70"/>
  <c r="M72" s="1"/>
  <c r="L70"/>
  <c r="L72" s="1"/>
  <c r="K70"/>
  <c r="J70"/>
  <c r="J72" s="1"/>
  <c r="I70"/>
  <c r="I72" s="1"/>
  <c r="H70"/>
  <c r="H72" s="1"/>
  <c r="G70"/>
  <c r="F70"/>
  <c r="F72" s="1"/>
  <c r="Q68"/>
  <c r="R68" s="1"/>
  <c r="P68"/>
  <c r="O68"/>
  <c r="N68"/>
  <c r="M68"/>
  <c r="L68"/>
  <c r="K68"/>
  <c r="J68"/>
  <c r="I68"/>
  <c r="H68"/>
  <c r="G68"/>
  <c r="F68"/>
  <c r="Q67"/>
  <c r="R67" s="1"/>
  <c r="P67"/>
  <c r="P69" s="1"/>
  <c r="O67"/>
  <c r="O69" s="1"/>
  <c r="N67"/>
  <c r="N69" s="1"/>
  <c r="M67"/>
  <c r="M69" s="1"/>
  <c r="L67"/>
  <c r="L69" s="1"/>
  <c r="K67"/>
  <c r="K69" s="1"/>
  <c r="J67"/>
  <c r="I67"/>
  <c r="I69" s="1"/>
  <c r="H67"/>
  <c r="H69" s="1"/>
  <c r="G67"/>
  <c r="G69" s="1"/>
  <c r="F67"/>
  <c r="F69" s="1"/>
  <c r="Q65"/>
  <c r="P65"/>
  <c r="O65"/>
  <c r="N65"/>
  <c r="M65"/>
  <c r="L65"/>
  <c r="K65"/>
  <c r="J65"/>
  <c r="I65"/>
  <c r="H65"/>
  <c r="G65"/>
  <c r="F65"/>
  <c r="Q64"/>
  <c r="R64" s="1"/>
  <c r="P64"/>
  <c r="P66" s="1"/>
  <c r="O64"/>
  <c r="O66" s="1"/>
  <c r="N64"/>
  <c r="M64"/>
  <c r="M66" s="1"/>
  <c r="L64"/>
  <c r="K64"/>
  <c r="K66" s="1"/>
  <c r="J64"/>
  <c r="I64"/>
  <c r="H64"/>
  <c r="H66" s="1"/>
  <c r="G64"/>
  <c r="G66" s="1"/>
  <c r="F64"/>
  <c r="Q62"/>
  <c r="R62" s="1"/>
  <c r="P62"/>
  <c r="O62"/>
  <c r="N62"/>
  <c r="M62"/>
  <c r="L62"/>
  <c r="K62"/>
  <c r="J62"/>
  <c r="I62"/>
  <c r="H62"/>
  <c r="G62"/>
  <c r="F62"/>
  <c r="Q61"/>
  <c r="R61" s="1"/>
  <c r="P61"/>
  <c r="O61"/>
  <c r="O63" s="1"/>
  <c r="N61"/>
  <c r="M61"/>
  <c r="L61"/>
  <c r="K61"/>
  <c r="K63" s="1"/>
  <c r="J61"/>
  <c r="I61"/>
  <c r="H61"/>
  <c r="G61"/>
  <c r="G63" s="1"/>
  <c r="F61"/>
  <c r="Q59"/>
  <c r="R59" s="1"/>
  <c r="P59"/>
  <c r="O59"/>
  <c r="N59"/>
  <c r="M59"/>
  <c r="L59"/>
  <c r="K59"/>
  <c r="J59"/>
  <c r="I59"/>
  <c r="H59"/>
  <c r="G59"/>
  <c r="F59"/>
  <c r="Q58"/>
  <c r="P58"/>
  <c r="P60" s="1"/>
  <c r="O58"/>
  <c r="N58"/>
  <c r="N60" s="1"/>
  <c r="M58"/>
  <c r="M60" s="1"/>
  <c r="L58"/>
  <c r="L60" s="1"/>
  <c r="K58"/>
  <c r="K60" s="1"/>
  <c r="J58"/>
  <c r="J60" s="1"/>
  <c r="I58"/>
  <c r="I60" s="1"/>
  <c r="H58"/>
  <c r="H60" s="1"/>
  <c r="G58"/>
  <c r="F58"/>
  <c r="F60" s="1"/>
  <c r="Q57"/>
  <c r="R57" s="1"/>
  <c r="P57"/>
  <c r="O57"/>
  <c r="N57"/>
  <c r="M57"/>
  <c r="L57"/>
  <c r="K57"/>
  <c r="J57"/>
  <c r="I57"/>
  <c r="H57"/>
  <c r="G57"/>
  <c r="F57"/>
  <c r="Q55"/>
  <c r="R55" s="1"/>
  <c r="P55"/>
  <c r="O55"/>
  <c r="N55"/>
  <c r="M55"/>
  <c r="L55"/>
  <c r="K55"/>
  <c r="J55"/>
  <c r="I55"/>
  <c r="H55"/>
  <c r="G55"/>
  <c r="F55"/>
  <c r="Q54"/>
  <c r="Q56" s="1"/>
  <c r="R56" s="1"/>
  <c r="P54"/>
  <c r="P56" s="1"/>
  <c r="O54"/>
  <c r="O56" s="1"/>
  <c r="N54"/>
  <c r="N56" s="1"/>
  <c r="M54"/>
  <c r="M56" s="1"/>
  <c r="L54"/>
  <c r="L56" s="1"/>
  <c r="K54"/>
  <c r="J54"/>
  <c r="J56" s="1"/>
  <c r="I54"/>
  <c r="I56" s="1"/>
  <c r="H54"/>
  <c r="G54"/>
  <c r="F54"/>
  <c r="F56" s="1"/>
  <c r="Q53"/>
  <c r="R53" s="1"/>
  <c r="P53"/>
  <c r="O53"/>
  <c r="N53"/>
  <c r="M53"/>
  <c r="L53"/>
  <c r="K53"/>
  <c r="J53"/>
  <c r="I53"/>
  <c r="H53"/>
  <c r="G53"/>
  <c r="F53"/>
  <c r="Q46"/>
  <c r="R46" s="1"/>
  <c r="P46"/>
  <c r="O46"/>
  <c r="N46"/>
  <c r="M46"/>
  <c r="L46"/>
  <c r="K46"/>
  <c r="J46"/>
  <c r="I46"/>
  <c r="H46"/>
  <c r="G46"/>
  <c r="F46"/>
  <c r="Q45"/>
  <c r="R45" s="1"/>
  <c r="P45"/>
  <c r="O45"/>
  <c r="N45"/>
  <c r="M45"/>
  <c r="L45"/>
  <c r="K45"/>
  <c r="J45"/>
  <c r="I45"/>
  <c r="H45"/>
  <c r="G45"/>
  <c r="F45"/>
  <c r="Q44"/>
  <c r="R44" s="1"/>
  <c r="P44"/>
  <c r="O44"/>
  <c r="N44"/>
  <c r="M44"/>
  <c r="L44"/>
  <c r="K44"/>
  <c r="J44"/>
  <c r="I44"/>
  <c r="H44"/>
  <c r="G44"/>
  <c r="F44"/>
  <c r="Q43"/>
  <c r="R43" s="1"/>
  <c r="P43"/>
  <c r="O43"/>
  <c r="N43"/>
  <c r="M43"/>
  <c r="L43"/>
  <c r="K43"/>
  <c r="J43"/>
  <c r="I43"/>
  <c r="H43"/>
  <c r="G43"/>
  <c r="F43"/>
  <c r="Q42"/>
  <c r="R42" s="1"/>
  <c r="P42"/>
  <c r="O42"/>
  <c r="N42"/>
  <c r="M42"/>
  <c r="L42"/>
  <c r="K42"/>
  <c r="J42"/>
  <c r="I42"/>
  <c r="H42"/>
  <c r="G42"/>
  <c r="F42"/>
  <c r="Q41"/>
  <c r="R41" s="1"/>
  <c r="P41"/>
  <c r="O41"/>
  <c r="N41"/>
  <c r="M41"/>
  <c r="L41"/>
  <c r="K41"/>
  <c r="J41"/>
  <c r="I41"/>
  <c r="H41"/>
  <c r="G41"/>
  <c r="F41"/>
  <c r="Q40"/>
  <c r="R40" s="1"/>
  <c r="P40"/>
  <c r="O40"/>
  <c r="N40"/>
  <c r="M40"/>
  <c r="L40"/>
  <c r="K40"/>
  <c r="J40"/>
  <c r="I40"/>
  <c r="H40"/>
  <c r="G40"/>
  <c r="F40"/>
  <c r="Q39"/>
  <c r="R39" s="1"/>
  <c r="P39"/>
  <c r="O39"/>
  <c r="N39"/>
  <c r="M39"/>
  <c r="L39"/>
  <c r="K39"/>
  <c r="J39"/>
  <c r="I39"/>
  <c r="H39"/>
  <c r="G39"/>
  <c r="F39"/>
  <c r="Q36"/>
  <c r="R36" s="1"/>
  <c r="P36"/>
  <c r="O36"/>
  <c r="N36"/>
  <c r="M36"/>
  <c r="L36"/>
  <c r="K36"/>
  <c r="J36"/>
  <c r="I36"/>
  <c r="H36"/>
  <c r="G36"/>
  <c r="F36"/>
  <c r="Q33"/>
  <c r="R33" s="1"/>
  <c r="P33"/>
  <c r="O33"/>
  <c r="N33"/>
  <c r="M33"/>
  <c r="L33"/>
  <c r="K33"/>
  <c r="J33"/>
  <c r="I33"/>
  <c r="H33"/>
  <c r="G33"/>
  <c r="F33"/>
  <c r="Q32"/>
  <c r="R32" s="1"/>
  <c r="P32"/>
  <c r="O32"/>
  <c r="N32"/>
  <c r="M32"/>
  <c r="L32"/>
  <c r="K32"/>
  <c r="J32"/>
  <c r="I32"/>
  <c r="H32"/>
  <c r="G32"/>
  <c r="F32"/>
  <c r="Q31"/>
  <c r="R31" s="1"/>
  <c r="P31"/>
  <c r="O31"/>
  <c r="N31"/>
  <c r="M31"/>
  <c r="L31"/>
  <c r="K31"/>
  <c r="J31"/>
  <c r="I31"/>
  <c r="H31"/>
  <c r="G31"/>
  <c r="F31"/>
  <c r="Q30"/>
  <c r="R30" s="1"/>
  <c r="P30"/>
  <c r="O30"/>
  <c r="N30"/>
  <c r="M30"/>
  <c r="L30"/>
  <c r="K30"/>
  <c r="J30"/>
  <c r="I30"/>
  <c r="H30"/>
  <c r="G30"/>
  <c r="F30"/>
  <c r="Q27"/>
  <c r="R27" s="1"/>
  <c r="P27"/>
  <c r="O27"/>
  <c r="N27"/>
  <c r="M27"/>
  <c r="L27"/>
  <c r="K27"/>
  <c r="J27"/>
  <c r="I27"/>
  <c r="H27"/>
  <c r="G27"/>
  <c r="F27"/>
  <c r="Q25"/>
  <c r="R25" s="1"/>
  <c r="P25"/>
  <c r="O25"/>
  <c r="N25"/>
  <c r="M25"/>
  <c r="L25"/>
  <c r="K25"/>
  <c r="J25"/>
  <c r="I25"/>
  <c r="H25"/>
  <c r="G25"/>
  <c r="F25"/>
  <c r="Q24"/>
  <c r="R24" s="1"/>
  <c r="P24"/>
  <c r="O24"/>
  <c r="N24"/>
  <c r="M24"/>
  <c r="L24"/>
  <c r="K24"/>
  <c r="J24"/>
  <c r="I24"/>
  <c r="H24"/>
  <c r="G24"/>
  <c r="F24"/>
  <c r="Q21"/>
  <c r="R21" s="1"/>
  <c r="P21"/>
  <c r="O21"/>
  <c r="N21"/>
  <c r="M21"/>
  <c r="L21"/>
  <c r="K21"/>
  <c r="J21"/>
  <c r="I21"/>
  <c r="H21"/>
  <c r="G21"/>
  <c r="F21"/>
  <c r="Q20"/>
  <c r="R20" s="1"/>
  <c r="P20"/>
  <c r="O20"/>
  <c r="N20"/>
  <c r="M20"/>
  <c r="L20"/>
  <c r="K20"/>
  <c r="J20"/>
  <c r="I20"/>
  <c r="H20"/>
  <c r="G20"/>
  <c r="F20"/>
  <c r="Q19"/>
  <c r="R19" s="1"/>
  <c r="P19"/>
  <c r="O19"/>
  <c r="N19"/>
  <c r="M19"/>
  <c r="L19"/>
  <c r="K19"/>
  <c r="J19"/>
  <c r="I19"/>
  <c r="H19"/>
  <c r="G19"/>
  <c r="F19"/>
  <c r="Q18"/>
  <c r="R18" s="1"/>
  <c r="P18"/>
  <c r="O18"/>
  <c r="N18"/>
  <c r="M18"/>
  <c r="L18"/>
  <c r="K18"/>
  <c r="J18"/>
  <c r="I18"/>
  <c r="H18"/>
  <c r="G18"/>
  <c r="F18"/>
  <c r="Q17"/>
  <c r="R17" s="1"/>
  <c r="P17"/>
  <c r="O17"/>
  <c r="N17"/>
  <c r="M17"/>
  <c r="L17"/>
  <c r="K17"/>
  <c r="J17"/>
  <c r="I17"/>
  <c r="H17"/>
  <c r="G17"/>
  <c r="F17"/>
  <c r="Q16"/>
  <c r="P16"/>
  <c r="O16"/>
  <c r="N16"/>
  <c r="M16"/>
  <c r="L16"/>
  <c r="K16"/>
  <c r="J16"/>
  <c r="I16"/>
  <c r="H16"/>
  <c r="G16"/>
  <c r="F16"/>
  <c r="Q15"/>
  <c r="R15" s="1"/>
  <c r="P15"/>
  <c r="O15"/>
  <c r="N15"/>
  <c r="M15"/>
  <c r="L15"/>
  <c r="K15"/>
  <c r="J15"/>
  <c r="I15"/>
  <c r="H15"/>
  <c r="G15"/>
  <c r="F15"/>
  <c r="Q14"/>
  <c r="R14" s="1"/>
  <c r="P14"/>
  <c r="O14"/>
  <c r="N14"/>
  <c r="M14"/>
  <c r="L14"/>
  <c r="K14"/>
  <c r="J14"/>
  <c r="I14"/>
  <c r="H14"/>
  <c r="G14"/>
  <c r="F14"/>
  <c r="Q13"/>
  <c r="Q12" s="1"/>
  <c r="P13"/>
  <c r="O13"/>
  <c r="O12" s="1"/>
  <c r="N13"/>
  <c r="M13"/>
  <c r="M12" s="1"/>
  <c r="L13"/>
  <c r="K13"/>
  <c r="K12" s="1"/>
  <c r="J13"/>
  <c r="I13"/>
  <c r="I12" s="1"/>
  <c r="H13"/>
  <c r="G13"/>
  <c r="F13"/>
  <c r="P12" i="31"/>
  <c r="O159" i="30"/>
  <c r="P159" s="1"/>
  <c r="N159"/>
  <c r="M159"/>
  <c r="L159"/>
  <c r="K159"/>
  <c r="J159"/>
  <c r="I159"/>
  <c r="H159"/>
  <c r="G159"/>
  <c r="F159"/>
  <c r="E159"/>
  <c r="D159"/>
  <c r="O158"/>
  <c r="P158" s="1"/>
  <c r="N158"/>
  <c r="M158"/>
  <c r="L158"/>
  <c r="K158"/>
  <c r="J158"/>
  <c r="I158"/>
  <c r="H158"/>
  <c r="G158"/>
  <c r="F158"/>
  <c r="E158"/>
  <c r="D158"/>
  <c r="O157"/>
  <c r="O161" s="1"/>
  <c r="N157"/>
  <c r="N161" s="1"/>
  <c r="M157"/>
  <c r="M161" s="1"/>
  <c r="L157"/>
  <c r="L161" s="1"/>
  <c r="K157"/>
  <c r="K161" s="1"/>
  <c r="J157"/>
  <c r="J161" s="1"/>
  <c r="I157"/>
  <c r="I161" s="1"/>
  <c r="H157"/>
  <c r="H161" s="1"/>
  <c r="G157"/>
  <c r="G161" s="1"/>
  <c r="F157"/>
  <c r="F161" s="1"/>
  <c r="E157"/>
  <c r="E161" s="1"/>
  <c r="D157"/>
  <c r="D161" s="1"/>
  <c r="O147"/>
  <c r="P147" s="1"/>
  <c r="N147"/>
  <c r="M147"/>
  <c r="L147"/>
  <c r="K147"/>
  <c r="J147"/>
  <c r="I147"/>
  <c r="H147"/>
  <c r="G147"/>
  <c r="F147"/>
  <c r="E147"/>
  <c r="D147"/>
  <c r="O146"/>
  <c r="P146" s="1"/>
  <c r="N146"/>
  <c r="M146"/>
  <c r="L146"/>
  <c r="K146"/>
  <c r="J146"/>
  <c r="I146"/>
  <c r="H146"/>
  <c r="G146"/>
  <c r="F146"/>
  <c r="E146"/>
  <c r="D146"/>
  <c r="O145"/>
  <c r="P145" s="1"/>
  <c r="N145"/>
  <c r="M145"/>
  <c r="L145"/>
  <c r="K145"/>
  <c r="J145"/>
  <c r="I145"/>
  <c r="H145"/>
  <c r="G145"/>
  <c r="F145"/>
  <c r="E145"/>
  <c r="D145"/>
  <c r="O144"/>
  <c r="P144" s="1"/>
  <c r="N144"/>
  <c r="M144"/>
  <c r="L144"/>
  <c r="K144"/>
  <c r="J144"/>
  <c r="I144"/>
  <c r="H144"/>
  <c r="G144"/>
  <c r="F144"/>
  <c r="E144"/>
  <c r="D144"/>
  <c r="O143"/>
  <c r="P143" s="1"/>
  <c r="N143"/>
  <c r="M143"/>
  <c r="L143"/>
  <c r="K143"/>
  <c r="J143"/>
  <c r="I143"/>
  <c r="H143"/>
  <c r="G143"/>
  <c r="F143"/>
  <c r="E143"/>
  <c r="D143"/>
  <c r="O142"/>
  <c r="P142" s="1"/>
  <c r="N142"/>
  <c r="M142"/>
  <c r="L142"/>
  <c r="K142"/>
  <c r="J142"/>
  <c r="I142"/>
  <c r="H142"/>
  <c r="G142"/>
  <c r="F142"/>
  <c r="E142"/>
  <c r="D142"/>
  <c r="O141"/>
  <c r="P141" s="1"/>
  <c r="N141"/>
  <c r="M141"/>
  <c r="L141"/>
  <c r="K141"/>
  <c r="J141"/>
  <c r="I141"/>
  <c r="H141"/>
  <c r="G141"/>
  <c r="F141"/>
  <c r="E141"/>
  <c r="D141"/>
  <c r="O140"/>
  <c r="P140" s="1"/>
  <c r="N140"/>
  <c r="M140"/>
  <c r="L140"/>
  <c r="K140"/>
  <c r="J140"/>
  <c r="I140"/>
  <c r="H140"/>
  <c r="G140"/>
  <c r="F140"/>
  <c r="E140"/>
  <c r="D140"/>
  <c r="O139"/>
  <c r="P139" s="1"/>
  <c r="N139"/>
  <c r="M139"/>
  <c r="L139"/>
  <c r="K139"/>
  <c r="J139"/>
  <c r="I139"/>
  <c r="H139"/>
  <c r="G139"/>
  <c r="F139"/>
  <c r="E139"/>
  <c r="D139"/>
  <c r="O138"/>
  <c r="P138" s="1"/>
  <c r="N138"/>
  <c r="M138"/>
  <c r="L138"/>
  <c r="K138"/>
  <c r="J138"/>
  <c r="I138"/>
  <c r="H138"/>
  <c r="G138"/>
  <c r="F138"/>
  <c r="E138"/>
  <c r="D138"/>
  <c r="O137"/>
  <c r="P137" s="1"/>
  <c r="N137"/>
  <c r="M137"/>
  <c r="L137"/>
  <c r="K137"/>
  <c r="J137"/>
  <c r="I137"/>
  <c r="H137"/>
  <c r="G137"/>
  <c r="F137"/>
  <c r="E137"/>
  <c r="D137"/>
  <c r="O136"/>
  <c r="P136" s="1"/>
  <c r="N136"/>
  <c r="M136"/>
  <c r="L136"/>
  <c r="K136"/>
  <c r="J136"/>
  <c r="I136"/>
  <c r="H136"/>
  <c r="G136"/>
  <c r="F136"/>
  <c r="E136"/>
  <c r="D136"/>
  <c r="O135"/>
  <c r="P135" s="1"/>
  <c r="N135"/>
  <c r="M135"/>
  <c r="L135"/>
  <c r="K135"/>
  <c r="J135"/>
  <c r="I135"/>
  <c r="H135"/>
  <c r="G135"/>
  <c r="F135"/>
  <c r="E135"/>
  <c r="D135"/>
  <c r="O134"/>
  <c r="P134" s="1"/>
  <c r="N134"/>
  <c r="M134"/>
  <c r="L134"/>
  <c r="K134"/>
  <c r="J134"/>
  <c r="I134"/>
  <c r="H134"/>
  <c r="G134"/>
  <c r="F134"/>
  <c r="E134"/>
  <c r="D134"/>
  <c r="O133"/>
  <c r="P133" s="1"/>
  <c r="N133"/>
  <c r="M133"/>
  <c r="L133"/>
  <c r="K133"/>
  <c r="J133"/>
  <c r="I133"/>
  <c r="H133"/>
  <c r="G133"/>
  <c r="F133"/>
  <c r="E133"/>
  <c r="D133"/>
  <c r="O132"/>
  <c r="N132"/>
  <c r="M132"/>
  <c r="L132"/>
  <c r="K132"/>
  <c r="J132"/>
  <c r="I132"/>
  <c r="H132"/>
  <c r="G132"/>
  <c r="F132"/>
  <c r="E132"/>
  <c r="D132"/>
  <c r="O131"/>
  <c r="P131" s="1"/>
  <c r="N131"/>
  <c r="M131"/>
  <c r="L131"/>
  <c r="K131"/>
  <c r="J131"/>
  <c r="I131"/>
  <c r="H131"/>
  <c r="G131"/>
  <c r="F131"/>
  <c r="E131"/>
  <c r="D131"/>
  <c r="O130"/>
  <c r="P130" s="1"/>
  <c r="N130"/>
  <c r="M130"/>
  <c r="L130"/>
  <c r="K130"/>
  <c r="J130"/>
  <c r="I130"/>
  <c r="H130"/>
  <c r="G130"/>
  <c r="F130"/>
  <c r="E130"/>
  <c r="D130"/>
  <c r="O124"/>
  <c r="P124" s="1"/>
  <c r="N124"/>
  <c r="M124"/>
  <c r="L124"/>
  <c r="K124"/>
  <c r="J124"/>
  <c r="I124"/>
  <c r="H124"/>
  <c r="G124"/>
  <c r="F124"/>
  <c r="E124"/>
  <c r="D124"/>
  <c r="O123"/>
  <c r="P123" s="1"/>
  <c r="N123"/>
  <c r="M123"/>
  <c r="L123"/>
  <c r="K123"/>
  <c r="J123"/>
  <c r="I123"/>
  <c r="H123"/>
  <c r="G123"/>
  <c r="F123"/>
  <c r="E123"/>
  <c r="D123"/>
  <c r="O122"/>
  <c r="P122" s="1"/>
  <c r="N122"/>
  <c r="M122"/>
  <c r="L122"/>
  <c r="K122"/>
  <c r="J122"/>
  <c r="I122"/>
  <c r="H122"/>
  <c r="G122"/>
  <c r="F122"/>
  <c r="E122"/>
  <c r="D122"/>
  <c r="O121"/>
  <c r="P121" s="1"/>
  <c r="N121"/>
  <c r="M121"/>
  <c r="L121"/>
  <c r="K121"/>
  <c r="J121"/>
  <c r="I121"/>
  <c r="H121"/>
  <c r="G121"/>
  <c r="F121"/>
  <c r="E121"/>
  <c r="D121"/>
  <c r="O120"/>
  <c r="P120" s="1"/>
  <c r="N120"/>
  <c r="M120"/>
  <c r="L120"/>
  <c r="K120"/>
  <c r="J120"/>
  <c r="I120"/>
  <c r="H120"/>
  <c r="G120"/>
  <c r="F120"/>
  <c r="E120"/>
  <c r="D120"/>
  <c r="O119"/>
  <c r="P119" s="1"/>
  <c r="N119"/>
  <c r="M119"/>
  <c r="L119"/>
  <c r="K119"/>
  <c r="J119"/>
  <c r="I119"/>
  <c r="H119"/>
  <c r="G119"/>
  <c r="F119"/>
  <c r="E119"/>
  <c r="D119"/>
  <c r="O118"/>
  <c r="P118" s="1"/>
  <c r="N118"/>
  <c r="M118"/>
  <c r="L118"/>
  <c r="K118"/>
  <c r="J118"/>
  <c r="I118"/>
  <c r="H118"/>
  <c r="G118"/>
  <c r="F118"/>
  <c r="E118"/>
  <c r="D118"/>
  <c r="O117"/>
  <c r="P117" s="1"/>
  <c r="N117"/>
  <c r="M117"/>
  <c r="L117"/>
  <c r="K117"/>
  <c r="J117"/>
  <c r="I117"/>
  <c r="H117"/>
  <c r="G117"/>
  <c r="F117"/>
  <c r="E117"/>
  <c r="D117"/>
  <c r="O116"/>
  <c r="P116" s="1"/>
  <c r="N116"/>
  <c r="M116"/>
  <c r="L116"/>
  <c r="K116"/>
  <c r="J116"/>
  <c r="I116"/>
  <c r="H116"/>
  <c r="G116"/>
  <c r="F116"/>
  <c r="E116"/>
  <c r="D116"/>
  <c r="O115"/>
  <c r="P115" s="1"/>
  <c r="N115"/>
  <c r="M115"/>
  <c r="L115"/>
  <c r="K115"/>
  <c r="J115"/>
  <c r="I115"/>
  <c r="H115"/>
  <c r="G115"/>
  <c r="F115"/>
  <c r="E115"/>
  <c r="D115"/>
  <c r="O114"/>
  <c r="P114" s="1"/>
  <c r="N114"/>
  <c r="M114"/>
  <c r="L114"/>
  <c r="K114"/>
  <c r="J114"/>
  <c r="I114"/>
  <c r="H114"/>
  <c r="G114"/>
  <c r="F114"/>
  <c r="E114"/>
  <c r="D114"/>
  <c r="O113"/>
  <c r="P113" s="1"/>
  <c r="N113"/>
  <c r="M113"/>
  <c r="L113"/>
  <c r="K113"/>
  <c r="J113"/>
  <c r="I113"/>
  <c r="H113"/>
  <c r="G113"/>
  <c r="F113"/>
  <c r="E113"/>
  <c r="D113"/>
  <c r="O112"/>
  <c r="P112" s="1"/>
  <c r="N112"/>
  <c r="M112"/>
  <c r="L112"/>
  <c r="K112"/>
  <c r="J112"/>
  <c r="I112"/>
  <c r="H112"/>
  <c r="G112"/>
  <c r="F112"/>
  <c r="E112"/>
  <c r="D112"/>
  <c r="O111"/>
  <c r="P111" s="1"/>
  <c r="N111"/>
  <c r="M111"/>
  <c r="L111"/>
  <c r="K111"/>
  <c r="J111"/>
  <c r="I111"/>
  <c r="H111"/>
  <c r="G111"/>
  <c r="F111"/>
  <c r="E111"/>
  <c r="D111"/>
  <c r="O110"/>
  <c r="P110" s="1"/>
  <c r="N110"/>
  <c r="M110"/>
  <c r="L110"/>
  <c r="K110"/>
  <c r="J110"/>
  <c r="I110"/>
  <c r="H110"/>
  <c r="G110"/>
  <c r="F110"/>
  <c r="E110"/>
  <c r="D110"/>
  <c r="O109"/>
  <c r="P109" s="1"/>
  <c r="N109"/>
  <c r="M109"/>
  <c r="L109"/>
  <c r="K109"/>
  <c r="J109"/>
  <c r="I109"/>
  <c r="H109"/>
  <c r="G109"/>
  <c r="F109"/>
  <c r="E109"/>
  <c r="D109"/>
  <c r="O108"/>
  <c r="P108" s="1"/>
  <c r="N108"/>
  <c r="M108"/>
  <c r="L108"/>
  <c r="K108"/>
  <c r="J108"/>
  <c r="I108"/>
  <c r="H108"/>
  <c r="G108"/>
  <c r="F108"/>
  <c r="E108"/>
  <c r="D108"/>
  <c r="O107"/>
  <c r="P107" s="1"/>
  <c r="N107"/>
  <c r="M107"/>
  <c r="L107"/>
  <c r="K107"/>
  <c r="J107"/>
  <c r="I107"/>
  <c r="H107"/>
  <c r="G107"/>
  <c r="F107"/>
  <c r="E107"/>
  <c r="D107"/>
  <c r="O106"/>
  <c r="P106" s="1"/>
  <c r="N106"/>
  <c r="M106"/>
  <c r="L106"/>
  <c r="K106"/>
  <c r="J106"/>
  <c r="I106"/>
  <c r="H106"/>
  <c r="G106"/>
  <c r="F106"/>
  <c r="E106"/>
  <c r="D106"/>
  <c r="O105"/>
  <c r="P105" s="1"/>
  <c r="N105"/>
  <c r="M105"/>
  <c r="L105"/>
  <c r="K105"/>
  <c r="J105"/>
  <c r="I105"/>
  <c r="H105"/>
  <c r="G105"/>
  <c r="F105"/>
  <c r="E105"/>
  <c r="D105"/>
  <c r="O104"/>
  <c r="P104" s="1"/>
  <c r="N104"/>
  <c r="M104"/>
  <c r="L104"/>
  <c r="K104"/>
  <c r="J104"/>
  <c r="I104"/>
  <c r="H104"/>
  <c r="G104"/>
  <c r="F104"/>
  <c r="E104"/>
  <c r="D104"/>
  <c r="O103"/>
  <c r="P103" s="1"/>
  <c r="N103"/>
  <c r="M103"/>
  <c r="L103"/>
  <c r="K103"/>
  <c r="J103"/>
  <c r="I103"/>
  <c r="H103"/>
  <c r="G103"/>
  <c r="F103"/>
  <c r="E103"/>
  <c r="D103"/>
  <c r="O102"/>
  <c r="P102" s="1"/>
  <c r="N102"/>
  <c r="M102"/>
  <c r="L102"/>
  <c r="K102"/>
  <c r="J102"/>
  <c r="I102"/>
  <c r="H102"/>
  <c r="G102"/>
  <c r="F102"/>
  <c r="E102"/>
  <c r="D102"/>
  <c r="O101"/>
  <c r="P101" s="1"/>
  <c r="N101"/>
  <c r="M101"/>
  <c r="L101"/>
  <c r="K101"/>
  <c r="J101"/>
  <c r="I101"/>
  <c r="H101"/>
  <c r="G101"/>
  <c r="F101"/>
  <c r="E101"/>
  <c r="D101"/>
  <c r="O100"/>
  <c r="P100" s="1"/>
  <c r="N100"/>
  <c r="M100"/>
  <c r="L100"/>
  <c r="K100"/>
  <c r="J100"/>
  <c r="I100"/>
  <c r="H100"/>
  <c r="G100"/>
  <c r="F100"/>
  <c r="E100"/>
  <c r="D100"/>
  <c r="O99"/>
  <c r="P99" s="1"/>
  <c r="N99"/>
  <c r="M99"/>
  <c r="L99"/>
  <c r="K99"/>
  <c r="J99"/>
  <c r="I99"/>
  <c r="H99"/>
  <c r="G99"/>
  <c r="F99"/>
  <c r="E99"/>
  <c r="D99"/>
  <c r="O98"/>
  <c r="P98" s="1"/>
  <c r="N98"/>
  <c r="M98"/>
  <c r="L98"/>
  <c r="K98"/>
  <c r="J98"/>
  <c r="I98"/>
  <c r="H98"/>
  <c r="G98"/>
  <c r="F98"/>
  <c r="E98"/>
  <c r="D98"/>
  <c r="O97"/>
  <c r="P97" s="1"/>
  <c r="N97"/>
  <c r="M97"/>
  <c r="L97"/>
  <c r="K97"/>
  <c r="J97"/>
  <c r="I97"/>
  <c r="H97"/>
  <c r="G97"/>
  <c r="F97"/>
  <c r="E97"/>
  <c r="D97"/>
  <c r="O96"/>
  <c r="P96" s="1"/>
  <c r="N96"/>
  <c r="M96"/>
  <c r="L96"/>
  <c r="K96"/>
  <c r="J96"/>
  <c r="I96"/>
  <c r="H96"/>
  <c r="G96"/>
  <c r="F96"/>
  <c r="E96"/>
  <c r="D96"/>
  <c r="O95"/>
  <c r="P95" s="1"/>
  <c r="N95"/>
  <c r="M95"/>
  <c r="L95"/>
  <c r="K95"/>
  <c r="J95"/>
  <c r="I95"/>
  <c r="H95"/>
  <c r="G95"/>
  <c r="F95"/>
  <c r="E95"/>
  <c r="D95"/>
  <c r="O94"/>
  <c r="P94" s="1"/>
  <c r="N94"/>
  <c r="M94"/>
  <c r="L94"/>
  <c r="K94"/>
  <c r="J94"/>
  <c r="I94"/>
  <c r="H94"/>
  <c r="G94"/>
  <c r="F94"/>
  <c r="E94"/>
  <c r="D94"/>
  <c r="O93"/>
  <c r="P93" s="1"/>
  <c r="N93"/>
  <c r="M93"/>
  <c r="L93"/>
  <c r="K93"/>
  <c r="J93"/>
  <c r="I93"/>
  <c r="H93"/>
  <c r="G93"/>
  <c r="F93"/>
  <c r="E93"/>
  <c r="D93"/>
  <c r="O92"/>
  <c r="P92" s="1"/>
  <c r="N92"/>
  <c r="M92"/>
  <c r="L92"/>
  <c r="K92"/>
  <c r="J92"/>
  <c r="I92"/>
  <c r="H92"/>
  <c r="G92"/>
  <c r="F92"/>
  <c r="E92"/>
  <c r="D92"/>
  <c r="O91"/>
  <c r="P91" s="1"/>
  <c r="N91"/>
  <c r="M91"/>
  <c r="L91"/>
  <c r="K91"/>
  <c r="J91"/>
  <c r="I91"/>
  <c r="H91"/>
  <c r="G91"/>
  <c r="F91"/>
  <c r="E91"/>
  <c r="D91"/>
  <c r="O90"/>
  <c r="P90" s="1"/>
  <c r="N90"/>
  <c r="M90"/>
  <c r="L90"/>
  <c r="K90"/>
  <c r="J90"/>
  <c r="I90"/>
  <c r="H90"/>
  <c r="G90"/>
  <c r="F90"/>
  <c r="E90"/>
  <c r="D90"/>
  <c r="O89"/>
  <c r="P89" s="1"/>
  <c r="N89"/>
  <c r="M89"/>
  <c r="L89"/>
  <c r="K89"/>
  <c r="J89"/>
  <c r="I89"/>
  <c r="H89"/>
  <c r="G89"/>
  <c r="F89"/>
  <c r="E89"/>
  <c r="D89"/>
  <c r="O88"/>
  <c r="P88" s="1"/>
  <c r="N88"/>
  <c r="M88"/>
  <c r="L88"/>
  <c r="K88"/>
  <c r="J88"/>
  <c r="I88"/>
  <c r="H88"/>
  <c r="G88"/>
  <c r="F88"/>
  <c r="E88"/>
  <c r="D88"/>
  <c r="O87"/>
  <c r="P87" s="1"/>
  <c r="N87"/>
  <c r="M87"/>
  <c r="L87"/>
  <c r="K87"/>
  <c r="J87"/>
  <c r="I87"/>
  <c r="H87"/>
  <c r="G87"/>
  <c r="F87"/>
  <c r="E87"/>
  <c r="D87"/>
  <c r="O86"/>
  <c r="P86" s="1"/>
  <c r="N86"/>
  <c r="M86"/>
  <c r="L86"/>
  <c r="K86"/>
  <c r="J86"/>
  <c r="I86"/>
  <c r="H86"/>
  <c r="G86"/>
  <c r="F86"/>
  <c r="E86"/>
  <c r="D86"/>
  <c r="O85"/>
  <c r="P85" s="1"/>
  <c r="N85"/>
  <c r="M85"/>
  <c r="L85"/>
  <c r="K85"/>
  <c r="J85"/>
  <c r="I85"/>
  <c r="H85"/>
  <c r="G85"/>
  <c r="F85"/>
  <c r="E85"/>
  <c r="D85"/>
  <c r="O84"/>
  <c r="P84" s="1"/>
  <c r="N84"/>
  <c r="M84"/>
  <c r="L84"/>
  <c r="K84"/>
  <c r="J84"/>
  <c r="I84"/>
  <c r="H84"/>
  <c r="G84"/>
  <c r="F84"/>
  <c r="E84"/>
  <c r="D84"/>
  <c r="O83"/>
  <c r="P83" s="1"/>
  <c r="N83"/>
  <c r="M83"/>
  <c r="L83"/>
  <c r="K83"/>
  <c r="J83"/>
  <c r="I83"/>
  <c r="H83"/>
  <c r="G83"/>
  <c r="F83"/>
  <c r="E83"/>
  <c r="D83"/>
  <c r="O82"/>
  <c r="P82" s="1"/>
  <c r="N82"/>
  <c r="M82"/>
  <c r="L82"/>
  <c r="K82"/>
  <c r="J82"/>
  <c r="I82"/>
  <c r="H82"/>
  <c r="G82"/>
  <c r="F82"/>
  <c r="E82"/>
  <c r="D82"/>
  <c r="O81"/>
  <c r="P81" s="1"/>
  <c r="N81"/>
  <c r="M81"/>
  <c r="L81"/>
  <c r="K81"/>
  <c r="J81"/>
  <c r="I81"/>
  <c r="H81"/>
  <c r="G81"/>
  <c r="F81"/>
  <c r="E81"/>
  <c r="D81"/>
  <c r="O80"/>
  <c r="P80" s="1"/>
  <c r="N80"/>
  <c r="M80"/>
  <c r="L80"/>
  <c r="K80"/>
  <c r="J80"/>
  <c r="I80"/>
  <c r="H80"/>
  <c r="G80"/>
  <c r="F80"/>
  <c r="E80"/>
  <c r="D80"/>
  <c r="O79"/>
  <c r="P79" s="1"/>
  <c r="N79"/>
  <c r="M79"/>
  <c r="L79"/>
  <c r="K79"/>
  <c r="J79"/>
  <c r="I79"/>
  <c r="H79"/>
  <c r="G79"/>
  <c r="F79"/>
  <c r="E79"/>
  <c r="D79"/>
  <c r="O78"/>
  <c r="P78" s="1"/>
  <c r="N78"/>
  <c r="M78"/>
  <c r="L78"/>
  <c r="K78"/>
  <c r="J78"/>
  <c r="I78"/>
  <c r="H78"/>
  <c r="G78"/>
  <c r="F78"/>
  <c r="E78"/>
  <c r="D78"/>
  <c r="O72"/>
  <c r="P72" s="1"/>
  <c r="N72"/>
  <c r="M72"/>
  <c r="L72"/>
  <c r="K72"/>
  <c r="J72"/>
  <c r="I72"/>
  <c r="H72"/>
  <c r="G72"/>
  <c r="F72"/>
  <c r="E72"/>
  <c r="D72"/>
  <c r="O71"/>
  <c r="P71" s="1"/>
  <c r="N71"/>
  <c r="M71"/>
  <c r="L71"/>
  <c r="K71"/>
  <c r="J71"/>
  <c r="I71"/>
  <c r="H71"/>
  <c r="G71"/>
  <c r="F71"/>
  <c r="E71"/>
  <c r="D71"/>
  <c r="O70"/>
  <c r="P70" s="1"/>
  <c r="N70"/>
  <c r="M70"/>
  <c r="L70"/>
  <c r="K70"/>
  <c r="J70"/>
  <c r="I70"/>
  <c r="H70"/>
  <c r="G70"/>
  <c r="F70"/>
  <c r="E70"/>
  <c r="D70"/>
  <c r="O69"/>
  <c r="P69" s="1"/>
  <c r="N69"/>
  <c r="M69"/>
  <c r="L69"/>
  <c r="K69"/>
  <c r="J69"/>
  <c r="I69"/>
  <c r="H69"/>
  <c r="G69"/>
  <c r="F69"/>
  <c r="E69"/>
  <c r="D69"/>
  <c r="O68"/>
  <c r="P68" s="1"/>
  <c r="N68"/>
  <c r="M68"/>
  <c r="L68"/>
  <c r="K68"/>
  <c r="J68"/>
  <c r="I68"/>
  <c r="H68"/>
  <c r="G68"/>
  <c r="F68"/>
  <c r="E68"/>
  <c r="D68"/>
  <c r="O67"/>
  <c r="P67" s="1"/>
  <c r="N67"/>
  <c r="M67"/>
  <c r="L67"/>
  <c r="K67"/>
  <c r="J67"/>
  <c r="I67"/>
  <c r="H67"/>
  <c r="G67"/>
  <c r="F67"/>
  <c r="E67"/>
  <c r="D67"/>
  <c r="O66"/>
  <c r="P66" s="1"/>
  <c r="N66"/>
  <c r="M66"/>
  <c r="L66"/>
  <c r="K66"/>
  <c r="J66"/>
  <c r="I66"/>
  <c r="H66"/>
  <c r="G66"/>
  <c r="F66"/>
  <c r="E66"/>
  <c r="D66"/>
  <c r="O65"/>
  <c r="P65" s="1"/>
  <c r="N65"/>
  <c r="M65"/>
  <c r="L65"/>
  <c r="K65"/>
  <c r="J65"/>
  <c r="I65"/>
  <c r="H65"/>
  <c r="G65"/>
  <c r="F65"/>
  <c r="E65"/>
  <c r="D65"/>
  <c r="O64"/>
  <c r="P64" s="1"/>
  <c r="N64"/>
  <c r="M64"/>
  <c r="L64"/>
  <c r="K64"/>
  <c r="J64"/>
  <c r="I64"/>
  <c r="H64"/>
  <c r="G64"/>
  <c r="F64"/>
  <c r="E64"/>
  <c r="D64"/>
  <c r="O63"/>
  <c r="P63" s="1"/>
  <c r="N63"/>
  <c r="M63"/>
  <c r="L63"/>
  <c r="K63"/>
  <c r="J63"/>
  <c r="I63"/>
  <c r="H63"/>
  <c r="G63"/>
  <c r="F63"/>
  <c r="E63"/>
  <c r="D63"/>
  <c r="O62"/>
  <c r="P62" s="1"/>
  <c r="N62"/>
  <c r="M62"/>
  <c r="L62"/>
  <c r="K62"/>
  <c r="J62"/>
  <c r="I62"/>
  <c r="H62"/>
  <c r="G62"/>
  <c r="F62"/>
  <c r="E62"/>
  <c r="D62"/>
  <c r="O61"/>
  <c r="P61" s="1"/>
  <c r="N61"/>
  <c r="M61"/>
  <c r="L61"/>
  <c r="K61"/>
  <c r="J61"/>
  <c r="I61"/>
  <c r="H61"/>
  <c r="G61"/>
  <c r="F61"/>
  <c r="E61"/>
  <c r="D61"/>
  <c r="O60"/>
  <c r="P60" s="1"/>
  <c r="N60"/>
  <c r="M60"/>
  <c r="L60"/>
  <c r="K60"/>
  <c r="J60"/>
  <c r="I60"/>
  <c r="H60"/>
  <c r="G60"/>
  <c r="F60"/>
  <c r="E60"/>
  <c r="D60"/>
  <c r="O59"/>
  <c r="P59" s="1"/>
  <c r="N59"/>
  <c r="M59"/>
  <c r="L59"/>
  <c r="K59"/>
  <c r="J59"/>
  <c r="I59"/>
  <c r="H59"/>
  <c r="G59"/>
  <c r="F59"/>
  <c r="E59"/>
  <c r="D59"/>
  <c r="O58"/>
  <c r="P58" s="1"/>
  <c r="N58"/>
  <c r="M58"/>
  <c r="L58"/>
  <c r="K58"/>
  <c r="J58"/>
  <c r="I58"/>
  <c r="H58"/>
  <c r="G58"/>
  <c r="F58"/>
  <c r="E58"/>
  <c r="D58"/>
  <c r="O57"/>
  <c r="P57" s="1"/>
  <c r="N57"/>
  <c r="M57"/>
  <c r="L57"/>
  <c r="K57"/>
  <c r="J57"/>
  <c r="I57"/>
  <c r="H57"/>
  <c r="G57"/>
  <c r="F57"/>
  <c r="E57"/>
  <c r="D57"/>
  <c r="O56"/>
  <c r="P56" s="1"/>
  <c r="N56"/>
  <c r="M56"/>
  <c r="L56"/>
  <c r="K56"/>
  <c r="J56"/>
  <c r="I56"/>
  <c r="H56"/>
  <c r="G56"/>
  <c r="F56"/>
  <c r="E56"/>
  <c r="D56"/>
  <c r="O55"/>
  <c r="P55" s="1"/>
  <c r="N55"/>
  <c r="M55"/>
  <c r="L55"/>
  <c r="K55"/>
  <c r="J55"/>
  <c r="I55"/>
  <c r="H55"/>
  <c r="G55"/>
  <c r="F55"/>
  <c r="E55"/>
  <c r="D55"/>
  <c r="O54"/>
  <c r="P54" s="1"/>
  <c r="N54"/>
  <c r="M54"/>
  <c r="L54"/>
  <c r="K54"/>
  <c r="J54"/>
  <c r="I54"/>
  <c r="H54"/>
  <c r="G54"/>
  <c r="F54"/>
  <c r="E54"/>
  <c r="D54"/>
  <c r="O53"/>
  <c r="P53" s="1"/>
  <c r="N53"/>
  <c r="M53"/>
  <c r="L53"/>
  <c r="K53"/>
  <c r="J53"/>
  <c r="I53"/>
  <c r="H53"/>
  <c r="G53"/>
  <c r="F53"/>
  <c r="E53"/>
  <c r="D53"/>
  <c r="O52"/>
  <c r="P52" s="1"/>
  <c r="N52"/>
  <c r="M52"/>
  <c r="L52"/>
  <c r="K52"/>
  <c r="J52"/>
  <c r="I52"/>
  <c r="H52"/>
  <c r="G52"/>
  <c r="F52"/>
  <c r="E52"/>
  <c r="D52"/>
  <c r="O51"/>
  <c r="P51" s="1"/>
  <c r="N51"/>
  <c r="M51"/>
  <c r="L51"/>
  <c r="K51"/>
  <c r="J51"/>
  <c r="I51"/>
  <c r="H51"/>
  <c r="G51"/>
  <c r="F51"/>
  <c r="E51"/>
  <c r="D51"/>
  <c r="O50"/>
  <c r="P50" s="1"/>
  <c r="N50"/>
  <c r="M50"/>
  <c r="L50"/>
  <c r="K50"/>
  <c r="J50"/>
  <c r="I50"/>
  <c r="H50"/>
  <c r="G50"/>
  <c r="F50"/>
  <c r="E50"/>
  <c r="D50"/>
  <c r="O40"/>
  <c r="P40" s="1"/>
  <c r="N40"/>
  <c r="M40"/>
  <c r="L40"/>
  <c r="K40"/>
  <c r="J40"/>
  <c r="I40"/>
  <c r="H40"/>
  <c r="G40"/>
  <c r="F40"/>
  <c r="E40"/>
  <c r="D40"/>
  <c r="O39"/>
  <c r="P39" s="1"/>
  <c r="N39"/>
  <c r="M39"/>
  <c r="L39"/>
  <c r="K39"/>
  <c r="J39"/>
  <c r="I39"/>
  <c r="H39"/>
  <c r="G39"/>
  <c r="F39"/>
  <c r="E39"/>
  <c r="D39"/>
  <c r="O38"/>
  <c r="P38" s="1"/>
  <c r="N38"/>
  <c r="M38"/>
  <c r="L38"/>
  <c r="K38"/>
  <c r="J38"/>
  <c r="I38"/>
  <c r="H38"/>
  <c r="G38"/>
  <c r="F38"/>
  <c r="E38"/>
  <c r="D38"/>
  <c r="O37"/>
  <c r="N37"/>
  <c r="M37"/>
  <c r="L37"/>
  <c r="K37"/>
  <c r="J37"/>
  <c r="I37"/>
  <c r="H37"/>
  <c r="G37"/>
  <c r="F37"/>
  <c r="E37"/>
  <c r="D37"/>
  <c r="O36"/>
  <c r="P36" s="1"/>
  <c r="N36"/>
  <c r="M36"/>
  <c r="L36"/>
  <c r="K36"/>
  <c r="J36"/>
  <c r="I36"/>
  <c r="H36"/>
  <c r="G36"/>
  <c r="F36"/>
  <c r="E36"/>
  <c r="E42" s="1"/>
  <c r="D36"/>
  <c r="O30"/>
  <c r="P30" s="1"/>
  <c r="N30"/>
  <c r="M30"/>
  <c r="L30"/>
  <c r="K30"/>
  <c r="J30"/>
  <c r="I30"/>
  <c r="H30"/>
  <c r="G30"/>
  <c r="F30"/>
  <c r="E30"/>
  <c r="D30"/>
  <c r="O29"/>
  <c r="P29" s="1"/>
  <c r="N29"/>
  <c r="M29"/>
  <c r="L29"/>
  <c r="K29"/>
  <c r="J29"/>
  <c r="I29"/>
  <c r="H29"/>
  <c r="G29"/>
  <c r="F29"/>
  <c r="E29"/>
  <c r="D29"/>
  <c r="O28"/>
  <c r="P28" s="1"/>
  <c r="N28"/>
  <c r="M28"/>
  <c r="L28"/>
  <c r="K28"/>
  <c r="J28"/>
  <c r="I28"/>
  <c r="H28"/>
  <c r="G28"/>
  <c r="F28"/>
  <c r="E28"/>
  <c r="D28"/>
  <c r="O27"/>
  <c r="P27" s="1"/>
  <c r="N27"/>
  <c r="M27"/>
  <c r="L27"/>
  <c r="K27"/>
  <c r="J27"/>
  <c r="I27"/>
  <c r="H27"/>
  <c r="G27"/>
  <c r="F27"/>
  <c r="E27"/>
  <c r="D27"/>
  <c r="O26"/>
  <c r="P26" s="1"/>
  <c r="N26"/>
  <c r="M26"/>
  <c r="L26"/>
  <c r="K26"/>
  <c r="J26"/>
  <c r="I26"/>
  <c r="H26"/>
  <c r="G26"/>
  <c r="F26"/>
  <c r="E26"/>
  <c r="D26"/>
  <c r="O25"/>
  <c r="P25" s="1"/>
  <c r="N25"/>
  <c r="M25"/>
  <c r="L25"/>
  <c r="K25"/>
  <c r="J25"/>
  <c r="I25"/>
  <c r="H25"/>
  <c r="G25"/>
  <c r="F25"/>
  <c r="E25"/>
  <c r="D25"/>
  <c r="O24"/>
  <c r="P24" s="1"/>
  <c r="N24"/>
  <c r="M24"/>
  <c r="L24"/>
  <c r="K24"/>
  <c r="J24"/>
  <c r="I24"/>
  <c r="H24"/>
  <c r="G24"/>
  <c r="F24"/>
  <c r="E24"/>
  <c r="D24"/>
  <c r="O23"/>
  <c r="P23" s="1"/>
  <c r="N23"/>
  <c r="M23"/>
  <c r="L23"/>
  <c r="K23"/>
  <c r="J23"/>
  <c r="I23"/>
  <c r="H23"/>
  <c r="G23"/>
  <c r="F23"/>
  <c r="E23"/>
  <c r="D23"/>
  <c r="O22"/>
  <c r="P22" s="1"/>
  <c r="N22"/>
  <c r="M22"/>
  <c r="L22"/>
  <c r="K22"/>
  <c r="J22"/>
  <c r="I22"/>
  <c r="H22"/>
  <c r="G22"/>
  <c r="F22"/>
  <c r="E22"/>
  <c r="D22"/>
  <c r="O21"/>
  <c r="P21" s="1"/>
  <c r="N21"/>
  <c r="M21"/>
  <c r="L21"/>
  <c r="K21"/>
  <c r="J21"/>
  <c r="I21"/>
  <c r="H21"/>
  <c r="G21"/>
  <c r="F21"/>
  <c r="E21"/>
  <c r="D21"/>
  <c r="O20"/>
  <c r="P20" s="1"/>
  <c r="N20"/>
  <c r="M20"/>
  <c r="L20"/>
  <c r="K20"/>
  <c r="J20"/>
  <c r="I20"/>
  <c r="H20"/>
  <c r="G20"/>
  <c r="F20"/>
  <c r="E20"/>
  <c r="D20"/>
  <c r="O19"/>
  <c r="P19" s="1"/>
  <c r="N19"/>
  <c r="M19"/>
  <c r="L19"/>
  <c r="K19"/>
  <c r="J19"/>
  <c r="I19"/>
  <c r="H19"/>
  <c r="G19"/>
  <c r="F19"/>
  <c r="E19"/>
  <c r="D19"/>
  <c r="O18"/>
  <c r="P18" s="1"/>
  <c r="N18"/>
  <c r="M18"/>
  <c r="L18"/>
  <c r="K18"/>
  <c r="J18"/>
  <c r="I18"/>
  <c r="H18"/>
  <c r="G18"/>
  <c r="F18"/>
  <c r="E18"/>
  <c r="D18"/>
  <c r="O17"/>
  <c r="P17" s="1"/>
  <c r="N17"/>
  <c r="M17"/>
  <c r="L17"/>
  <c r="K17"/>
  <c r="J17"/>
  <c r="I17"/>
  <c r="H17"/>
  <c r="G17"/>
  <c r="F17"/>
  <c r="E17"/>
  <c r="D17"/>
  <c r="O16"/>
  <c r="P16" s="1"/>
  <c r="N16"/>
  <c r="M16"/>
  <c r="L16"/>
  <c r="K16"/>
  <c r="J16"/>
  <c r="I16"/>
  <c r="H16"/>
  <c r="G16"/>
  <c r="F16"/>
  <c r="E16"/>
  <c r="D16"/>
  <c r="O15"/>
  <c r="P15" s="1"/>
  <c r="N15"/>
  <c r="M15"/>
  <c r="L15"/>
  <c r="K15"/>
  <c r="J15"/>
  <c r="I15"/>
  <c r="H15"/>
  <c r="G15"/>
  <c r="F15"/>
  <c r="E15"/>
  <c r="D15"/>
  <c r="O14"/>
  <c r="P14" s="1"/>
  <c r="N14"/>
  <c r="M14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D192" i="29"/>
  <c r="C192"/>
  <c r="A192"/>
  <c r="D191"/>
  <c r="F191" s="1"/>
  <c r="C191"/>
  <c r="A191"/>
  <c r="D190"/>
  <c r="C190"/>
  <c r="A190"/>
  <c r="D189"/>
  <c r="C189"/>
  <c r="E189" s="1"/>
  <c r="A189"/>
  <c r="D188"/>
  <c r="F188" s="1"/>
  <c r="C188"/>
  <c r="A188"/>
  <c r="E187"/>
  <c r="D187"/>
  <c r="F187" s="1"/>
  <c r="C187"/>
  <c r="A187"/>
  <c r="F186"/>
  <c r="D186"/>
  <c r="E186" s="1"/>
  <c r="C186"/>
  <c r="A186"/>
  <c r="D185"/>
  <c r="C185"/>
  <c r="A185"/>
  <c r="D184"/>
  <c r="C184"/>
  <c r="A184"/>
  <c r="D183"/>
  <c r="F183" s="1"/>
  <c r="C183"/>
  <c r="A183"/>
  <c r="D182"/>
  <c r="F182" s="1"/>
  <c r="C182"/>
  <c r="E182" s="1"/>
  <c r="A182"/>
  <c r="D181"/>
  <c r="F181" s="1"/>
  <c r="C181"/>
  <c r="E181" s="1"/>
  <c r="A181"/>
  <c r="D180"/>
  <c r="F180" s="1"/>
  <c r="C180"/>
  <c r="A180"/>
  <c r="D179"/>
  <c r="C179"/>
  <c r="E179" s="1"/>
  <c r="A179"/>
  <c r="D178"/>
  <c r="C178"/>
  <c r="A178"/>
  <c r="E177"/>
  <c r="D177"/>
  <c r="C177"/>
  <c r="A177"/>
  <c r="D176"/>
  <c r="F176" s="1"/>
  <c r="C176"/>
  <c r="A176"/>
  <c r="D175"/>
  <c r="F175" s="1"/>
  <c r="C175"/>
  <c r="A175"/>
  <c r="D174"/>
  <c r="F174" s="1"/>
  <c r="C174"/>
  <c r="A174"/>
  <c r="D173"/>
  <c r="F173" s="1"/>
  <c r="C173"/>
  <c r="E173" s="1"/>
  <c r="A173"/>
  <c r="D172"/>
  <c r="F172" s="1"/>
  <c r="C172"/>
  <c r="A172"/>
  <c r="D171"/>
  <c r="C171"/>
  <c r="E171" s="1"/>
  <c r="A171"/>
  <c r="D170"/>
  <c r="C170"/>
  <c r="A170"/>
  <c r="E169"/>
  <c r="D169"/>
  <c r="C169"/>
  <c r="A169"/>
  <c r="F168"/>
  <c r="D168"/>
  <c r="C168"/>
  <c r="E168" s="1"/>
  <c r="A168"/>
  <c r="D167"/>
  <c r="C167"/>
  <c r="A167"/>
  <c r="D166"/>
  <c r="E166" s="1"/>
  <c r="C166"/>
  <c r="A166"/>
  <c r="E165"/>
  <c r="D165"/>
  <c r="F165" s="1"/>
  <c r="H165" s="1"/>
  <c r="C165"/>
  <c r="A165"/>
  <c r="D164"/>
  <c r="F164" s="1"/>
  <c r="C164"/>
  <c r="A164"/>
  <c r="D163"/>
  <c r="C163"/>
  <c r="A163"/>
  <c r="D162"/>
  <c r="F162" s="1"/>
  <c r="C162"/>
  <c r="A162"/>
  <c r="D161"/>
  <c r="F161" s="1"/>
  <c r="C161"/>
  <c r="A161"/>
  <c r="D160"/>
  <c r="C160"/>
  <c r="E160" s="1"/>
  <c r="A160"/>
  <c r="D159"/>
  <c r="C159"/>
  <c r="A159"/>
  <c r="D158"/>
  <c r="F158" s="1"/>
  <c r="C158"/>
  <c r="A158"/>
  <c r="D157"/>
  <c r="C157"/>
  <c r="A157"/>
  <c r="D156"/>
  <c r="F156" s="1"/>
  <c r="C156"/>
  <c r="A156"/>
  <c r="D155"/>
  <c r="C155"/>
  <c r="A155"/>
  <c r="D154"/>
  <c r="C154"/>
  <c r="E154" s="1"/>
  <c r="A154"/>
  <c r="D153"/>
  <c r="F153" s="1"/>
  <c r="C153"/>
  <c r="A153"/>
  <c r="E152"/>
  <c r="D152"/>
  <c r="F152" s="1"/>
  <c r="C152"/>
  <c r="A152"/>
  <c r="F151"/>
  <c r="D151"/>
  <c r="E151" s="1"/>
  <c r="C151"/>
  <c r="A151"/>
  <c r="D150"/>
  <c r="C150"/>
  <c r="A150"/>
  <c r="D149"/>
  <c r="C149"/>
  <c r="A149"/>
  <c r="D148"/>
  <c r="F148" s="1"/>
  <c r="C148"/>
  <c r="A148"/>
  <c r="D147"/>
  <c r="C147"/>
  <c r="E147" s="1"/>
  <c r="A147"/>
  <c r="D146"/>
  <c r="C146"/>
  <c r="E146" s="1"/>
  <c r="A146"/>
  <c r="D145"/>
  <c r="F145" s="1"/>
  <c r="C145"/>
  <c r="A145"/>
  <c r="E144"/>
  <c r="D144"/>
  <c r="F144" s="1"/>
  <c r="C144"/>
  <c r="A144"/>
  <c r="F143"/>
  <c r="D143"/>
  <c r="C143"/>
  <c r="A143"/>
  <c r="D142"/>
  <c r="C142"/>
  <c r="A142"/>
  <c r="D141"/>
  <c r="C141"/>
  <c r="A141"/>
  <c r="D140"/>
  <c r="F140" s="1"/>
  <c r="C140"/>
  <c r="A140"/>
  <c r="D139"/>
  <c r="C139"/>
  <c r="E139" s="1"/>
  <c r="A139"/>
  <c r="D138"/>
  <c r="C138"/>
  <c r="E138" s="1"/>
  <c r="A138"/>
  <c r="D137"/>
  <c r="F137" s="1"/>
  <c r="C137"/>
  <c r="A137"/>
  <c r="E136"/>
  <c r="D136"/>
  <c r="F136" s="1"/>
  <c r="C136"/>
  <c r="A136"/>
  <c r="E135"/>
  <c r="D135"/>
  <c r="F135" s="1"/>
  <c r="C135"/>
  <c r="A135"/>
  <c r="F134"/>
  <c r="D134"/>
  <c r="C134"/>
  <c r="A134"/>
  <c r="D133"/>
  <c r="C133"/>
  <c r="A133"/>
  <c r="D132"/>
  <c r="C132"/>
  <c r="A132"/>
  <c r="D131"/>
  <c r="F131" s="1"/>
  <c r="C131"/>
  <c r="A131"/>
  <c r="D130"/>
  <c r="C130"/>
  <c r="E130" s="1"/>
  <c r="A130"/>
  <c r="D129"/>
  <c r="C129"/>
  <c r="E129" s="1"/>
  <c r="A129"/>
  <c r="D128"/>
  <c r="C128"/>
  <c r="A128"/>
  <c r="E127"/>
  <c r="D127"/>
  <c r="F127" s="1"/>
  <c r="C127"/>
  <c r="A127"/>
  <c r="F126"/>
  <c r="D126"/>
  <c r="C126"/>
  <c r="A126"/>
  <c r="D125"/>
  <c r="C125"/>
  <c r="A125"/>
  <c r="D124"/>
  <c r="C124"/>
  <c r="A124"/>
  <c r="D123"/>
  <c r="C123"/>
  <c r="E123" s="1"/>
  <c r="A123"/>
  <c r="D122"/>
  <c r="F122" s="1"/>
  <c r="C122"/>
  <c r="A122"/>
  <c r="D121"/>
  <c r="F121" s="1"/>
  <c r="C121"/>
  <c r="A121"/>
  <c r="D120"/>
  <c r="C120"/>
  <c r="A120"/>
  <c r="D119"/>
  <c r="C119"/>
  <c r="E119" s="1"/>
  <c r="A119"/>
  <c r="D118"/>
  <c r="F118" s="1"/>
  <c r="C118"/>
  <c r="A118"/>
  <c r="D117"/>
  <c r="C117"/>
  <c r="A117"/>
  <c r="D116"/>
  <c r="C116"/>
  <c r="A116"/>
  <c r="D115"/>
  <c r="F115" s="1"/>
  <c r="C115"/>
  <c r="A115"/>
  <c r="D114"/>
  <c r="C114"/>
  <c r="A114"/>
  <c r="D113"/>
  <c r="C113"/>
  <c r="E113" s="1"/>
  <c r="A113"/>
  <c r="D112"/>
  <c r="C112"/>
  <c r="A112"/>
  <c r="F111"/>
  <c r="D111"/>
  <c r="C111"/>
  <c r="E111" s="1"/>
  <c r="G111" s="1"/>
  <c r="A111"/>
  <c r="D110"/>
  <c r="C110"/>
  <c r="E110" s="1"/>
  <c r="A110"/>
  <c r="D109"/>
  <c r="F109" s="1"/>
  <c r="C109"/>
  <c r="A109"/>
  <c r="D108"/>
  <c r="C108"/>
  <c r="A108"/>
  <c r="F107"/>
  <c r="D107"/>
  <c r="C107"/>
  <c r="E107" s="1"/>
  <c r="G107" s="1"/>
  <c r="A107"/>
  <c r="D106"/>
  <c r="C106"/>
  <c r="E106" s="1"/>
  <c r="A106"/>
  <c r="D105"/>
  <c r="C105"/>
  <c r="A105"/>
  <c r="D104"/>
  <c r="C104"/>
  <c r="A104"/>
  <c r="F103"/>
  <c r="H103" s="1"/>
  <c r="D103"/>
  <c r="C103"/>
  <c r="E103" s="1"/>
  <c r="A103"/>
  <c r="D102"/>
  <c r="C102"/>
  <c r="E102" s="1"/>
  <c r="A102"/>
  <c r="D101"/>
  <c r="F101" s="1"/>
  <c r="C101"/>
  <c r="A101"/>
  <c r="D100"/>
  <c r="F100" s="1"/>
  <c r="C100"/>
  <c r="A100"/>
  <c r="F99"/>
  <c r="E99"/>
  <c r="G99" s="1"/>
  <c r="D99"/>
  <c r="C99"/>
  <c r="A99"/>
  <c r="D98"/>
  <c r="C98"/>
  <c r="A98"/>
  <c r="D97"/>
  <c r="C97"/>
  <c r="E97" s="1"/>
  <c r="A97"/>
  <c r="D96"/>
  <c r="F96" s="1"/>
  <c r="C96"/>
  <c r="A96"/>
  <c r="D95"/>
  <c r="C95"/>
  <c r="E95" s="1"/>
  <c r="A95"/>
  <c r="D94"/>
  <c r="C94"/>
  <c r="F94" s="1"/>
  <c r="D93"/>
  <c r="C93"/>
  <c r="A93"/>
  <c r="D92"/>
  <c r="C92"/>
  <c r="E92" s="1"/>
  <c r="A92"/>
  <c r="D91"/>
  <c r="C91"/>
  <c r="E91" s="1"/>
  <c r="A91"/>
  <c r="D90"/>
  <c r="C90"/>
  <c r="A90"/>
  <c r="D89"/>
  <c r="F89" s="1"/>
  <c r="C89"/>
  <c r="A89"/>
  <c r="D88"/>
  <c r="C88"/>
  <c r="E88" s="1"/>
  <c r="A88"/>
  <c r="D87"/>
  <c r="C87"/>
  <c r="E87" s="1"/>
  <c r="A87"/>
  <c r="D86"/>
  <c r="F86" s="1"/>
  <c r="C86"/>
  <c r="A86"/>
  <c r="D85"/>
  <c r="F85" s="1"/>
  <c r="C85"/>
  <c r="A85"/>
  <c r="D84"/>
  <c r="C84"/>
  <c r="E84" s="1"/>
  <c r="A84"/>
  <c r="D83"/>
  <c r="C83"/>
  <c r="E83" s="1"/>
  <c r="A83"/>
  <c r="D82"/>
  <c r="F82" s="1"/>
  <c r="C82"/>
  <c r="A82"/>
  <c r="D81"/>
  <c r="F81" s="1"/>
  <c r="C81"/>
  <c r="E81" s="1"/>
  <c r="G81" s="1"/>
  <c r="A81"/>
  <c r="D80"/>
  <c r="F80" s="1"/>
  <c r="C80"/>
  <c r="D79"/>
  <c r="C79"/>
  <c r="A79"/>
  <c r="D78"/>
  <c r="F78" s="1"/>
  <c r="C78"/>
  <c r="A78"/>
  <c r="F77"/>
  <c r="H77" s="1"/>
  <c r="D77"/>
  <c r="C77"/>
  <c r="E77" s="1"/>
  <c r="A77"/>
  <c r="E76"/>
  <c r="D76"/>
  <c r="C76"/>
  <c r="A76"/>
  <c r="D75"/>
  <c r="C75"/>
  <c r="A75"/>
  <c r="D74"/>
  <c r="C74"/>
  <c r="A74"/>
  <c r="D73"/>
  <c r="C73"/>
  <c r="E73" s="1"/>
  <c r="A73"/>
  <c r="D72"/>
  <c r="F72" s="1"/>
  <c r="H72" s="1"/>
  <c r="C72"/>
  <c r="E72" s="1"/>
  <c r="A72"/>
  <c r="D71"/>
  <c r="C71"/>
  <c r="A71"/>
  <c r="D70"/>
  <c r="F70" s="1"/>
  <c r="C70"/>
  <c r="A70"/>
  <c r="E69"/>
  <c r="G69" s="1"/>
  <c r="D69"/>
  <c r="F69" s="1"/>
  <c r="C69"/>
  <c r="A69"/>
  <c r="F68"/>
  <c r="D68"/>
  <c r="C68"/>
  <c r="E68" s="1"/>
  <c r="G68" s="1"/>
  <c r="A68"/>
  <c r="D67"/>
  <c r="C67"/>
  <c r="A67"/>
  <c r="D66"/>
  <c r="F66" s="1"/>
  <c r="C66"/>
  <c r="A66"/>
  <c r="D65"/>
  <c r="F65" s="1"/>
  <c r="C65"/>
  <c r="E65" s="1"/>
  <c r="A65"/>
  <c r="F64"/>
  <c r="H64" s="1"/>
  <c r="E64"/>
  <c r="D64"/>
  <c r="C64"/>
  <c r="A64"/>
  <c r="D63"/>
  <c r="F63" s="1"/>
  <c r="C63"/>
  <c r="A63"/>
  <c r="D62"/>
  <c r="F62" s="1"/>
  <c r="C62"/>
  <c r="A62"/>
  <c r="E61"/>
  <c r="G61" s="1"/>
  <c r="D61"/>
  <c r="F61" s="1"/>
  <c r="C61"/>
  <c r="A61"/>
  <c r="F60"/>
  <c r="D60"/>
  <c r="C60"/>
  <c r="A60"/>
  <c r="D59"/>
  <c r="C59"/>
  <c r="A59"/>
  <c r="D58"/>
  <c r="C58"/>
  <c r="A58"/>
  <c r="D57"/>
  <c r="C57"/>
  <c r="A57"/>
  <c r="D56"/>
  <c r="F56" s="1"/>
  <c r="C56"/>
  <c r="A56"/>
  <c r="D55"/>
  <c r="C55"/>
  <c r="E55" s="1"/>
  <c r="A55"/>
  <c r="D54"/>
  <c r="F54" s="1"/>
  <c r="C54"/>
  <c r="A54"/>
  <c r="D53"/>
  <c r="F53" s="1"/>
  <c r="C53"/>
  <c r="A53"/>
  <c r="D52"/>
  <c r="F52" s="1"/>
  <c r="C52"/>
  <c r="A52"/>
  <c r="D51"/>
  <c r="C51"/>
  <c r="E51" s="1"/>
  <c r="A51"/>
  <c r="D50"/>
  <c r="C50"/>
  <c r="A50"/>
  <c r="D49"/>
  <c r="F49" s="1"/>
  <c r="C49"/>
  <c r="A49"/>
  <c r="D48"/>
  <c r="C48"/>
  <c r="E48" s="1"/>
  <c r="A48"/>
  <c r="D47"/>
  <c r="C47"/>
  <c r="E47" s="1"/>
  <c r="A47"/>
  <c r="D46"/>
  <c r="C46"/>
  <c r="A46"/>
  <c r="E45"/>
  <c r="D45"/>
  <c r="F45" s="1"/>
  <c r="C45"/>
  <c r="A45"/>
  <c r="F44"/>
  <c r="D44"/>
  <c r="C44"/>
  <c r="A44"/>
  <c r="D43"/>
  <c r="C43"/>
  <c r="A43"/>
  <c r="D42"/>
  <c r="C42"/>
  <c r="A42"/>
  <c r="D41"/>
  <c r="C41"/>
  <c r="E41" s="1"/>
  <c r="A41"/>
  <c r="D40"/>
  <c r="F40" s="1"/>
  <c r="C40"/>
  <c r="A40"/>
  <c r="D39"/>
  <c r="C39"/>
  <c r="E39" s="1"/>
  <c r="A39"/>
  <c r="D38"/>
  <c r="C38"/>
  <c r="A38"/>
  <c r="D37"/>
  <c r="F37" s="1"/>
  <c r="C37"/>
  <c r="A37"/>
  <c r="D36"/>
  <c r="F36" s="1"/>
  <c r="C36"/>
  <c r="A36"/>
  <c r="D35"/>
  <c r="C35"/>
  <c r="E35" s="1"/>
  <c r="A35"/>
  <c r="D34"/>
  <c r="C34"/>
  <c r="A34"/>
  <c r="D33"/>
  <c r="F33" s="1"/>
  <c r="C33"/>
  <c r="A33"/>
  <c r="D32"/>
  <c r="C32"/>
  <c r="E32" s="1"/>
  <c r="A32"/>
  <c r="D31"/>
  <c r="C31"/>
  <c r="E31" s="1"/>
  <c r="A31"/>
  <c r="D30"/>
  <c r="C30"/>
  <c r="A30"/>
  <c r="E29"/>
  <c r="D29"/>
  <c r="F29" s="1"/>
  <c r="C29"/>
  <c r="A29"/>
  <c r="D28"/>
  <c r="F28" s="1"/>
  <c r="C28"/>
  <c r="A28"/>
  <c r="D27"/>
  <c r="F27" s="1"/>
  <c r="C27"/>
  <c r="E27" s="1"/>
  <c r="A27"/>
  <c r="D26"/>
  <c r="F26" s="1"/>
  <c r="C26"/>
  <c r="A26"/>
  <c r="D25"/>
  <c r="C25"/>
  <c r="E25" s="1"/>
  <c r="A25"/>
  <c r="D24"/>
  <c r="C24"/>
  <c r="A24"/>
  <c r="E23"/>
  <c r="D23"/>
  <c r="C23"/>
  <c r="A23"/>
  <c r="F22"/>
  <c r="H22" s="1"/>
  <c r="D22"/>
  <c r="C22"/>
  <c r="E22" s="1"/>
  <c r="A22"/>
  <c r="D21"/>
  <c r="F21" s="1"/>
  <c r="C21"/>
  <c r="A21"/>
  <c r="D20"/>
  <c r="F20" s="1"/>
  <c r="C20"/>
  <c r="A20"/>
  <c r="D19"/>
  <c r="F19" s="1"/>
  <c r="C19"/>
  <c r="E19" s="1"/>
  <c r="A19"/>
  <c r="D18"/>
  <c r="F18" s="1"/>
  <c r="C18"/>
  <c r="A18"/>
  <c r="D17"/>
  <c r="C17"/>
  <c r="E17" s="1"/>
  <c r="A17"/>
  <c r="D16"/>
  <c r="C16"/>
  <c r="A16"/>
  <c r="E15"/>
  <c r="D15"/>
  <c r="C15"/>
  <c r="A15"/>
  <c r="F14"/>
  <c r="H14" s="1"/>
  <c r="D14"/>
  <c r="C14"/>
  <c r="E14" s="1"/>
  <c r="A14"/>
  <c r="D13"/>
  <c r="C13"/>
  <c r="A13"/>
  <c r="A1" i="8"/>
  <c r="Q3"/>
  <c r="S3"/>
  <c r="G4"/>
  <c r="Q4"/>
  <c r="Q5"/>
  <c r="Q6"/>
  <c r="Q7"/>
  <c r="Q8"/>
  <c r="Q9"/>
  <c r="Q10"/>
  <c r="Q11"/>
  <c r="Q12"/>
  <c r="Q13"/>
  <c r="S13"/>
  <c r="Q14"/>
  <c r="S14"/>
  <c r="Q15"/>
  <c r="S15"/>
  <c r="B16"/>
  <c r="C16"/>
  <c r="C19" s="1"/>
  <c r="D16"/>
  <c r="D19"/>
  <c r="E16"/>
  <c r="F16"/>
  <c r="G16"/>
  <c r="H16"/>
  <c r="H19" s="1"/>
  <c r="I16"/>
  <c r="I19" s="1"/>
  <c r="J16"/>
  <c r="K16"/>
  <c r="K19" s="1"/>
  <c r="L16"/>
  <c r="M16"/>
  <c r="N16"/>
  <c r="O16"/>
  <c r="O19" s="1"/>
  <c r="P16"/>
  <c r="R16"/>
  <c r="B19"/>
  <c r="E19"/>
  <c r="F19"/>
  <c r="G19"/>
  <c r="L19"/>
  <c r="M19"/>
  <c r="N19"/>
  <c r="P19"/>
  <c r="T19"/>
  <c r="G13" i="23"/>
  <c r="G14"/>
  <c r="G15"/>
  <c r="G16"/>
  <c r="G17"/>
  <c r="G18"/>
  <c r="G19"/>
  <c r="G20"/>
  <c r="D21"/>
  <c r="E21"/>
  <c r="F21"/>
  <c r="G24"/>
  <c r="G25"/>
  <c r="G26"/>
  <c r="G29"/>
  <c r="D31"/>
  <c r="E31"/>
  <c r="F31"/>
  <c r="C9" i="2"/>
  <c r="E10"/>
  <c r="G10"/>
  <c r="H10" s="1"/>
  <c r="D11"/>
  <c r="D9"/>
  <c r="G11"/>
  <c r="H11" s="1"/>
  <c r="C13"/>
  <c r="G13"/>
  <c r="E14"/>
  <c r="H14"/>
  <c r="E15"/>
  <c r="C16"/>
  <c r="E17"/>
  <c r="G17"/>
  <c r="E18"/>
  <c r="G18"/>
  <c r="H18" s="1"/>
  <c r="C20"/>
  <c r="G20"/>
  <c r="D22"/>
  <c r="E22" s="1"/>
  <c r="C24"/>
  <c r="D28"/>
  <c r="E28" s="1"/>
  <c r="C30"/>
  <c r="G30"/>
  <c r="G54" s="1"/>
  <c r="E31"/>
  <c r="H31"/>
  <c r="E32"/>
  <c r="H32"/>
  <c r="G34"/>
  <c r="C35"/>
  <c r="E35" s="1"/>
  <c r="H35"/>
  <c r="C37"/>
  <c r="G37"/>
  <c r="E38"/>
  <c r="H38"/>
  <c r="E39"/>
  <c r="H39"/>
  <c r="E40"/>
  <c r="H40"/>
  <c r="C42"/>
  <c r="G42"/>
  <c r="E43"/>
  <c r="H43"/>
  <c r="E44"/>
  <c r="H44"/>
  <c r="E46"/>
  <c r="H46"/>
  <c r="C48"/>
  <c r="G48"/>
  <c r="E49"/>
  <c r="H49"/>
  <c r="E50"/>
  <c r="H50"/>
  <c r="D52"/>
  <c r="E52" s="1"/>
  <c r="C70"/>
  <c r="G70"/>
  <c r="G74" s="1"/>
  <c r="G77" s="1"/>
  <c r="E71"/>
  <c r="H71"/>
  <c r="C74"/>
  <c r="C77" s="1"/>
  <c r="C9" i="12"/>
  <c r="C13"/>
  <c r="C16"/>
  <c r="C23"/>
  <c r="C34"/>
  <c r="C38"/>
  <c r="C41"/>
  <c r="C46"/>
  <c r="C52"/>
  <c r="C74"/>
  <c r="C78" s="1"/>
  <c r="C81" s="1"/>
  <c r="G11" i="19"/>
  <c r="G16"/>
  <c r="G18" s="1"/>
  <c r="G11" i="22"/>
  <c r="G16"/>
  <c r="G8" i="18"/>
  <c r="G11" s="1"/>
  <c r="G18" s="1"/>
  <c r="I20" s="1"/>
  <c r="H11"/>
  <c r="G16"/>
  <c r="H16"/>
  <c r="H18" s="1"/>
  <c r="G10" i="17"/>
  <c r="G14"/>
  <c r="G17"/>
  <c r="G23"/>
  <c r="G21" s="1"/>
  <c r="G28"/>
  <c r="G26" s="1"/>
  <c r="G40"/>
  <c r="G34" s="1"/>
  <c r="G54"/>
  <c r="G59"/>
  <c r="G56" s="1"/>
  <c r="G70"/>
  <c r="G67" s="1"/>
  <c r="G75"/>
  <c r="G78"/>
  <c r="G81"/>
  <c r="G84"/>
  <c r="G89"/>
  <c r="G86" s="1"/>
  <c r="G94"/>
  <c r="G91" s="1"/>
  <c r="G96"/>
  <c r="G102"/>
  <c r="G99" s="1"/>
  <c r="G104"/>
  <c r="G134"/>
  <c r="G133" s="1"/>
  <c r="G150" s="1"/>
  <c r="G152" s="1"/>
  <c r="G162" s="1"/>
  <c r="G137"/>
  <c r="G140"/>
  <c r="G147"/>
  <c r="G158"/>
  <c r="G157"/>
  <c r="H6" i="1"/>
  <c r="J6"/>
  <c r="L6"/>
  <c r="N6" s="1"/>
  <c r="F10"/>
  <c r="J10" s="1"/>
  <c r="L10" s="1"/>
  <c r="G10"/>
  <c r="K10"/>
  <c r="M10"/>
  <c r="N10"/>
  <c r="O10"/>
  <c r="F11"/>
  <c r="G11"/>
  <c r="J11"/>
  <c r="L11"/>
  <c r="K11"/>
  <c r="M11"/>
  <c r="N11"/>
  <c r="O11"/>
  <c r="F12"/>
  <c r="G12"/>
  <c r="J12"/>
  <c r="L12"/>
  <c r="K12"/>
  <c r="M12"/>
  <c r="N12"/>
  <c r="O12"/>
  <c r="F13"/>
  <c r="G13"/>
  <c r="J13"/>
  <c r="L13"/>
  <c r="K13"/>
  <c r="M13"/>
  <c r="N13"/>
  <c r="O13"/>
  <c r="F14"/>
  <c r="G14"/>
  <c r="J14"/>
  <c r="L14"/>
  <c r="K14"/>
  <c r="M14"/>
  <c r="N14"/>
  <c r="O14"/>
  <c r="F15"/>
  <c r="G15"/>
  <c r="J15"/>
  <c r="L15"/>
  <c r="K15"/>
  <c r="M15"/>
  <c r="N15"/>
  <c r="O15"/>
  <c r="F16"/>
  <c r="G16"/>
  <c r="J16"/>
  <c r="L16"/>
  <c r="K16"/>
  <c r="M16"/>
  <c r="N16"/>
  <c r="O16"/>
  <c r="F17"/>
  <c r="G17"/>
  <c r="J17"/>
  <c r="L17"/>
  <c r="K17"/>
  <c r="M17"/>
  <c r="N17"/>
  <c r="O17"/>
  <c r="F18"/>
  <c r="J18" s="1"/>
  <c r="L18" s="1"/>
  <c r="G18"/>
  <c r="K18"/>
  <c r="M18" s="1"/>
  <c r="N18"/>
  <c r="O18"/>
  <c r="F19"/>
  <c r="G19"/>
  <c r="K19" s="1"/>
  <c r="M19" s="1"/>
  <c r="J19"/>
  <c r="L19" s="1"/>
  <c r="N19"/>
  <c r="O19"/>
  <c r="F20"/>
  <c r="J20"/>
  <c r="L20" s="1"/>
  <c r="G20"/>
  <c r="K20"/>
  <c r="M20" s="1"/>
  <c r="N20"/>
  <c r="O20"/>
  <c r="F21"/>
  <c r="J21"/>
  <c r="L21" s="1"/>
  <c r="G21"/>
  <c r="K21"/>
  <c r="M21"/>
  <c r="N21"/>
  <c r="O21"/>
  <c r="F22"/>
  <c r="J22"/>
  <c r="L22" s="1"/>
  <c r="G22"/>
  <c r="K22"/>
  <c r="M22" s="1"/>
  <c r="N22"/>
  <c r="O22"/>
  <c r="F23"/>
  <c r="J23"/>
  <c r="L23" s="1"/>
  <c r="G23"/>
  <c r="K23"/>
  <c r="M23"/>
  <c r="N23"/>
  <c r="O23"/>
  <c r="F24"/>
  <c r="J24"/>
  <c r="L24" s="1"/>
  <c r="G24"/>
  <c r="K24"/>
  <c r="M24" s="1"/>
  <c r="N24"/>
  <c r="O24"/>
  <c r="F25"/>
  <c r="J25"/>
  <c r="L25" s="1"/>
  <c r="G25"/>
  <c r="K25"/>
  <c r="M25"/>
  <c r="N25"/>
  <c r="O25"/>
  <c r="F26"/>
  <c r="J26"/>
  <c r="L26" s="1"/>
  <c r="G26"/>
  <c r="K26"/>
  <c r="M26" s="1"/>
  <c r="N26"/>
  <c r="O26"/>
  <c r="F27"/>
  <c r="J27"/>
  <c r="L27" s="1"/>
  <c r="G27"/>
  <c r="K27"/>
  <c r="M27"/>
  <c r="N27"/>
  <c r="O27"/>
  <c r="F28"/>
  <c r="J28"/>
  <c r="L28" s="1"/>
  <c r="G28"/>
  <c r="K28"/>
  <c r="M28" s="1"/>
  <c r="N28"/>
  <c r="O28"/>
  <c r="F29"/>
  <c r="J29"/>
  <c r="L29" s="1"/>
  <c r="G29"/>
  <c r="K29"/>
  <c r="M29"/>
  <c r="N29"/>
  <c r="O29"/>
  <c r="F30"/>
  <c r="J30"/>
  <c r="L30" s="1"/>
  <c r="G30"/>
  <c r="K30"/>
  <c r="M30" s="1"/>
  <c r="N30"/>
  <c r="O30"/>
  <c r="F31"/>
  <c r="J31"/>
  <c r="L31" s="1"/>
  <c r="G31"/>
  <c r="K31"/>
  <c r="M31"/>
  <c r="N31"/>
  <c r="O31"/>
  <c r="F32"/>
  <c r="J32"/>
  <c r="L32" s="1"/>
  <c r="G32"/>
  <c r="K32"/>
  <c r="M32" s="1"/>
  <c r="N32"/>
  <c r="O32"/>
  <c r="F33"/>
  <c r="J33"/>
  <c r="L33" s="1"/>
  <c r="G33"/>
  <c r="K33"/>
  <c r="M33"/>
  <c r="N33"/>
  <c r="O33"/>
  <c r="F34"/>
  <c r="G34"/>
  <c r="K34" s="1"/>
  <c r="M34" s="1"/>
  <c r="J34"/>
  <c r="L34"/>
  <c r="N34"/>
  <c r="O34"/>
  <c r="F35"/>
  <c r="J35"/>
  <c r="L35" s="1"/>
  <c r="G35"/>
  <c r="K35"/>
  <c r="M35"/>
  <c r="N35"/>
  <c r="O35"/>
  <c r="F36"/>
  <c r="J36"/>
  <c r="L36" s="1"/>
  <c r="G36"/>
  <c r="K36"/>
  <c r="M36" s="1"/>
  <c r="N36"/>
  <c r="O36"/>
  <c r="F37"/>
  <c r="G37"/>
  <c r="K37" s="1"/>
  <c r="M37" s="1"/>
  <c r="J37"/>
  <c r="L37"/>
  <c r="N37"/>
  <c r="O37"/>
  <c r="F38"/>
  <c r="J38"/>
  <c r="L38" s="1"/>
  <c r="G38"/>
  <c r="K38"/>
  <c r="M38"/>
  <c r="N38"/>
  <c r="O38"/>
  <c r="F39"/>
  <c r="G39"/>
  <c r="K39" s="1"/>
  <c r="M39" s="1"/>
  <c r="J39"/>
  <c r="L39"/>
  <c r="N39"/>
  <c r="O39"/>
  <c r="F40"/>
  <c r="J40"/>
  <c r="L40" s="1"/>
  <c r="G40"/>
  <c r="K40"/>
  <c r="M40" s="1"/>
  <c r="N40"/>
  <c r="O40"/>
  <c r="F41"/>
  <c r="G41"/>
  <c r="K41" s="1"/>
  <c r="M41" s="1"/>
  <c r="J41"/>
  <c r="L41"/>
  <c r="N41"/>
  <c r="O41"/>
  <c r="F42"/>
  <c r="J42"/>
  <c r="L42" s="1"/>
  <c r="G42"/>
  <c r="K42"/>
  <c r="M42"/>
  <c r="N42"/>
  <c r="O42"/>
  <c r="F43"/>
  <c r="G43"/>
  <c r="J43"/>
  <c r="K43"/>
  <c r="M43" s="1"/>
  <c r="L43"/>
  <c r="N43"/>
  <c r="O43"/>
  <c r="F44"/>
  <c r="J44"/>
  <c r="L44" s="1"/>
  <c r="G44"/>
  <c r="K44"/>
  <c r="M44" s="1"/>
  <c r="N44"/>
  <c r="O44"/>
  <c r="F45"/>
  <c r="G45"/>
  <c r="K45" s="1"/>
  <c r="M45" s="1"/>
  <c r="J45"/>
  <c r="L45"/>
  <c r="N45"/>
  <c r="O45"/>
  <c r="F46"/>
  <c r="J46"/>
  <c r="L46" s="1"/>
  <c r="G46"/>
  <c r="K46"/>
  <c r="M46"/>
  <c r="N46"/>
  <c r="O46"/>
  <c r="F47"/>
  <c r="G47"/>
  <c r="K47" s="1"/>
  <c r="M47" s="1"/>
  <c r="J47"/>
  <c r="L47"/>
  <c r="N47"/>
  <c r="O47"/>
  <c r="F48"/>
  <c r="J48"/>
  <c r="L48" s="1"/>
  <c r="G48"/>
  <c r="K48"/>
  <c r="M48" s="1"/>
  <c r="N48"/>
  <c r="O48"/>
  <c r="F49"/>
  <c r="G49"/>
  <c r="K49" s="1"/>
  <c r="M49"/>
  <c r="J49"/>
  <c r="L49"/>
  <c r="N49"/>
  <c r="O49"/>
  <c r="F50"/>
  <c r="J50"/>
  <c r="L50" s="1"/>
  <c r="G50"/>
  <c r="K50"/>
  <c r="M50"/>
  <c r="N50"/>
  <c r="O50"/>
  <c r="F51"/>
  <c r="G51"/>
  <c r="K51" s="1"/>
  <c r="M51" s="1"/>
  <c r="J51"/>
  <c r="L51"/>
  <c r="N51"/>
  <c r="O51"/>
  <c r="F52"/>
  <c r="G52"/>
  <c r="J52"/>
  <c r="K52"/>
  <c r="M52" s="1"/>
  <c r="L52"/>
  <c r="N52"/>
  <c r="O52"/>
  <c r="F53"/>
  <c r="G53"/>
  <c r="J53"/>
  <c r="K53"/>
  <c r="M53" s="1"/>
  <c r="L53"/>
  <c r="N53"/>
  <c r="O53"/>
  <c r="F54"/>
  <c r="J54"/>
  <c r="L54" s="1"/>
  <c r="G54"/>
  <c r="K54"/>
  <c r="M54"/>
  <c r="N54"/>
  <c r="O54"/>
  <c r="F55"/>
  <c r="G55"/>
  <c r="J55"/>
  <c r="K55"/>
  <c r="M55" s="1"/>
  <c r="L55"/>
  <c r="N55"/>
  <c r="O55"/>
  <c r="F56"/>
  <c r="J56"/>
  <c r="L56" s="1"/>
  <c r="G56"/>
  <c r="K56"/>
  <c r="M56"/>
  <c r="N56"/>
  <c r="O56"/>
  <c r="F57"/>
  <c r="G57"/>
  <c r="J57"/>
  <c r="K57"/>
  <c r="M57" s="1"/>
  <c r="L57"/>
  <c r="N57"/>
  <c r="O57"/>
  <c r="F58"/>
  <c r="J58"/>
  <c r="L58" s="1"/>
  <c r="G58"/>
  <c r="K58"/>
  <c r="M58"/>
  <c r="N58"/>
  <c r="O58"/>
  <c r="F59"/>
  <c r="G59"/>
  <c r="J59"/>
  <c r="K59"/>
  <c r="M59" s="1"/>
  <c r="L59"/>
  <c r="N59"/>
  <c r="O59"/>
  <c r="F60"/>
  <c r="J60"/>
  <c r="L60" s="1"/>
  <c r="G60"/>
  <c r="K60"/>
  <c r="M60"/>
  <c r="N60"/>
  <c r="O60"/>
  <c r="F61"/>
  <c r="G61"/>
  <c r="J61"/>
  <c r="K61"/>
  <c r="M61" s="1"/>
  <c r="L61"/>
  <c r="N61"/>
  <c r="O61"/>
  <c r="F62"/>
  <c r="J62"/>
  <c r="L62" s="1"/>
  <c r="G62"/>
  <c r="K62"/>
  <c r="M62"/>
  <c r="N62"/>
  <c r="O62"/>
  <c r="F63"/>
  <c r="G63"/>
  <c r="J63"/>
  <c r="K63"/>
  <c r="M63" s="1"/>
  <c r="L63"/>
  <c r="N63"/>
  <c r="O63"/>
  <c r="F64"/>
  <c r="J64"/>
  <c r="L64" s="1"/>
  <c r="G64"/>
  <c r="K64"/>
  <c r="M64"/>
  <c r="N64"/>
  <c r="O64"/>
  <c r="F65"/>
  <c r="G65"/>
  <c r="J65"/>
  <c r="K65"/>
  <c r="M65" s="1"/>
  <c r="L65"/>
  <c r="N65"/>
  <c r="O65"/>
  <c r="F66"/>
  <c r="J66"/>
  <c r="L66" s="1"/>
  <c r="G66"/>
  <c r="K66"/>
  <c r="M66"/>
  <c r="N66"/>
  <c r="O66"/>
  <c r="F67"/>
  <c r="G67"/>
  <c r="J67"/>
  <c r="K67"/>
  <c r="M67" s="1"/>
  <c r="L67"/>
  <c r="N67"/>
  <c r="O67"/>
  <c r="F68"/>
  <c r="J68"/>
  <c r="L68" s="1"/>
  <c r="G68"/>
  <c r="K68"/>
  <c r="M68"/>
  <c r="N68"/>
  <c r="O68"/>
  <c r="F69"/>
  <c r="G69"/>
  <c r="J69"/>
  <c r="K69"/>
  <c r="M69" s="1"/>
  <c r="L69"/>
  <c r="N69"/>
  <c r="O69"/>
  <c r="F70"/>
  <c r="J70"/>
  <c r="L70" s="1"/>
  <c r="G70"/>
  <c r="K70"/>
  <c r="M70"/>
  <c r="N70"/>
  <c r="O70"/>
  <c r="F71"/>
  <c r="G71"/>
  <c r="J71"/>
  <c r="K71"/>
  <c r="M71" s="1"/>
  <c r="L71"/>
  <c r="N71"/>
  <c r="O71"/>
  <c r="F72"/>
  <c r="J72"/>
  <c r="L72" s="1"/>
  <c r="G72"/>
  <c r="K72"/>
  <c r="M72"/>
  <c r="N72"/>
  <c r="O72"/>
  <c r="F73"/>
  <c r="J73"/>
  <c r="L73" s="1"/>
  <c r="G73"/>
  <c r="K73"/>
  <c r="M73"/>
  <c r="N73"/>
  <c r="O73"/>
  <c r="F74"/>
  <c r="G74"/>
  <c r="J74"/>
  <c r="K74"/>
  <c r="M74" s="1"/>
  <c r="L74"/>
  <c r="N74"/>
  <c r="O74"/>
  <c r="F75"/>
  <c r="J75"/>
  <c r="L75" s="1"/>
  <c r="G75"/>
  <c r="K75"/>
  <c r="M75"/>
  <c r="N75"/>
  <c r="O75"/>
  <c r="F76"/>
  <c r="J76"/>
  <c r="L76" s="1"/>
  <c r="G76"/>
  <c r="K76"/>
  <c r="M76"/>
  <c r="N76"/>
  <c r="O76"/>
  <c r="F77"/>
  <c r="J77"/>
  <c r="L77" s="1"/>
  <c r="G77"/>
  <c r="K77"/>
  <c r="M77"/>
  <c r="N77"/>
  <c r="O77"/>
  <c r="F78"/>
  <c r="J78"/>
  <c r="L78" s="1"/>
  <c r="G78"/>
  <c r="K78"/>
  <c r="M78"/>
  <c r="N78"/>
  <c r="O78"/>
  <c r="F79"/>
  <c r="J79"/>
  <c r="L79" s="1"/>
  <c r="G79"/>
  <c r="K79"/>
  <c r="M79"/>
  <c r="N79"/>
  <c r="O79"/>
  <c r="F80"/>
  <c r="J80"/>
  <c r="L80" s="1"/>
  <c r="G80"/>
  <c r="K80"/>
  <c r="M80"/>
  <c r="N80"/>
  <c r="O80"/>
  <c r="F81"/>
  <c r="J81"/>
  <c r="L81" s="1"/>
  <c r="G81"/>
  <c r="K81"/>
  <c r="M81"/>
  <c r="N81"/>
  <c r="O81"/>
  <c r="F82"/>
  <c r="J82"/>
  <c r="L82" s="1"/>
  <c r="G82"/>
  <c r="K82"/>
  <c r="M82"/>
  <c r="N82"/>
  <c r="O82"/>
  <c r="F83"/>
  <c r="J83"/>
  <c r="L83" s="1"/>
  <c r="G83"/>
  <c r="K83"/>
  <c r="M83"/>
  <c r="N83"/>
  <c r="O83"/>
  <c r="F84"/>
  <c r="J84"/>
  <c r="L84" s="1"/>
  <c r="G84"/>
  <c r="K84"/>
  <c r="M84"/>
  <c r="N84"/>
  <c r="O84"/>
  <c r="F85"/>
  <c r="J85"/>
  <c r="L85" s="1"/>
  <c r="G85"/>
  <c r="K85"/>
  <c r="M85"/>
  <c r="N85"/>
  <c r="O85"/>
  <c r="F86"/>
  <c r="J86"/>
  <c r="L86" s="1"/>
  <c r="G86"/>
  <c r="K86"/>
  <c r="M86"/>
  <c r="N86"/>
  <c r="O86"/>
  <c r="F87"/>
  <c r="G87"/>
  <c r="K87" s="1"/>
  <c r="M87" s="1"/>
  <c r="J87"/>
  <c r="L87"/>
  <c r="N87"/>
  <c r="O87"/>
  <c r="F88"/>
  <c r="G88"/>
  <c r="J88"/>
  <c r="K88"/>
  <c r="M88" s="1"/>
  <c r="L88"/>
  <c r="N88"/>
  <c r="O88"/>
  <c r="F89"/>
  <c r="G89"/>
  <c r="J89"/>
  <c r="K89"/>
  <c r="M89" s="1"/>
  <c r="L89"/>
  <c r="N89"/>
  <c r="O89"/>
  <c r="F90"/>
  <c r="G90"/>
  <c r="K90" s="1"/>
  <c r="M90" s="1"/>
  <c r="J90"/>
  <c r="L90"/>
  <c r="N90"/>
  <c r="O90"/>
  <c r="F91"/>
  <c r="G91"/>
  <c r="K91" s="1"/>
  <c r="M91" s="1"/>
  <c r="J91"/>
  <c r="L91" s="1"/>
  <c r="N91"/>
  <c r="O91"/>
  <c r="F92"/>
  <c r="G92"/>
  <c r="J92"/>
  <c r="L92" s="1"/>
  <c r="K92"/>
  <c r="M92" s="1"/>
  <c r="N92"/>
  <c r="O92"/>
  <c r="F93"/>
  <c r="G93"/>
  <c r="J93"/>
  <c r="K93"/>
  <c r="M93" s="1"/>
  <c r="L93"/>
  <c r="N93"/>
  <c r="O93"/>
  <c r="F94"/>
  <c r="G94"/>
  <c r="K94" s="1"/>
  <c r="M94" s="1"/>
  <c r="J94"/>
  <c r="L94"/>
  <c r="N94"/>
  <c r="O94"/>
  <c r="F95"/>
  <c r="G95"/>
  <c r="K95" s="1"/>
  <c r="M95" s="1"/>
  <c r="J95"/>
  <c r="L95" s="1"/>
  <c r="N95"/>
  <c r="O95"/>
  <c r="F96"/>
  <c r="G96"/>
  <c r="J96"/>
  <c r="L96" s="1"/>
  <c r="K96"/>
  <c r="M96" s="1"/>
  <c r="N96"/>
  <c r="O96"/>
  <c r="F97"/>
  <c r="G97"/>
  <c r="J97"/>
  <c r="K97"/>
  <c r="M97" s="1"/>
  <c r="L97"/>
  <c r="N97"/>
  <c r="O97"/>
  <c r="F98"/>
  <c r="G98"/>
  <c r="K98" s="1"/>
  <c r="J98"/>
  <c r="M98"/>
  <c r="L98"/>
  <c r="N98"/>
  <c r="O98"/>
  <c r="F99"/>
  <c r="G99"/>
  <c r="K99" s="1"/>
  <c r="M99" s="1"/>
  <c r="M232" s="1"/>
  <c r="J99"/>
  <c r="L99"/>
  <c r="N99"/>
  <c r="O99"/>
  <c r="F100"/>
  <c r="G100"/>
  <c r="K100" s="1"/>
  <c r="O100" s="1"/>
  <c r="J100"/>
  <c r="L100"/>
  <c r="M100"/>
  <c r="N100"/>
  <c r="F101"/>
  <c r="G101"/>
  <c r="K101" s="1"/>
  <c r="O101" s="1"/>
  <c r="J101"/>
  <c r="L101"/>
  <c r="M101"/>
  <c r="N101"/>
  <c r="F102"/>
  <c r="G102"/>
  <c r="K102" s="1"/>
  <c r="O102" s="1"/>
  <c r="J102"/>
  <c r="L102"/>
  <c r="M102"/>
  <c r="N102"/>
  <c r="F103"/>
  <c r="G103"/>
  <c r="K103" s="1"/>
  <c r="O103" s="1"/>
  <c r="J103"/>
  <c r="L103"/>
  <c r="M103"/>
  <c r="N103"/>
  <c r="F104"/>
  <c r="G104"/>
  <c r="K104" s="1"/>
  <c r="O104" s="1"/>
  <c r="J104"/>
  <c r="L104"/>
  <c r="M104"/>
  <c r="N104"/>
  <c r="F105"/>
  <c r="G105"/>
  <c r="K105" s="1"/>
  <c r="O105" s="1"/>
  <c r="J105"/>
  <c r="L105"/>
  <c r="M105"/>
  <c r="N105"/>
  <c r="F106"/>
  <c r="G106"/>
  <c r="K106" s="1"/>
  <c r="O106" s="1"/>
  <c r="J106"/>
  <c r="L106"/>
  <c r="M106"/>
  <c r="N106"/>
  <c r="F107"/>
  <c r="G107"/>
  <c r="K107" s="1"/>
  <c r="O107" s="1"/>
  <c r="J107"/>
  <c r="L107"/>
  <c r="M107"/>
  <c r="N107"/>
  <c r="F108"/>
  <c r="G108"/>
  <c r="K108" s="1"/>
  <c r="O108" s="1"/>
  <c r="J108"/>
  <c r="N108" s="1"/>
  <c r="L108"/>
  <c r="M108"/>
  <c r="F109"/>
  <c r="G109"/>
  <c r="K109" s="1"/>
  <c r="O109" s="1"/>
  <c r="J109"/>
  <c r="N109" s="1"/>
  <c r="L109"/>
  <c r="M109"/>
  <c r="F110"/>
  <c r="G110"/>
  <c r="K110" s="1"/>
  <c r="O110" s="1"/>
  <c r="J110"/>
  <c r="N110" s="1"/>
  <c r="L110"/>
  <c r="M110"/>
  <c r="F111"/>
  <c r="G111"/>
  <c r="K111" s="1"/>
  <c r="O111" s="1"/>
  <c r="J111"/>
  <c r="N111" s="1"/>
  <c r="L111"/>
  <c r="M111"/>
  <c r="F112"/>
  <c r="G112"/>
  <c r="K112" s="1"/>
  <c r="O112" s="1"/>
  <c r="J112"/>
  <c r="N112" s="1"/>
  <c r="L112"/>
  <c r="M112"/>
  <c r="F113"/>
  <c r="G113"/>
  <c r="K113" s="1"/>
  <c r="O113" s="1"/>
  <c r="J113"/>
  <c r="N113" s="1"/>
  <c r="L113"/>
  <c r="M113"/>
  <c r="F114"/>
  <c r="G114"/>
  <c r="K114" s="1"/>
  <c r="O114" s="1"/>
  <c r="J114"/>
  <c r="N114" s="1"/>
  <c r="L114"/>
  <c r="M114"/>
  <c r="F115"/>
  <c r="G115"/>
  <c r="K115" s="1"/>
  <c r="O115" s="1"/>
  <c r="J115"/>
  <c r="N115" s="1"/>
  <c r="L115"/>
  <c r="M115"/>
  <c r="F116"/>
  <c r="G116"/>
  <c r="K116" s="1"/>
  <c r="O116" s="1"/>
  <c r="J116"/>
  <c r="N116" s="1"/>
  <c r="L116"/>
  <c r="M116"/>
  <c r="F117"/>
  <c r="G117"/>
  <c r="K117" s="1"/>
  <c r="O117" s="1"/>
  <c r="J117"/>
  <c r="N117" s="1"/>
  <c r="L117"/>
  <c r="M117"/>
  <c r="F118"/>
  <c r="G118"/>
  <c r="K118" s="1"/>
  <c r="O118" s="1"/>
  <c r="J118"/>
  <c r="N118" s="1"/>
  <c r="L118"/>
  <c r="M118"/>
  <c r="F119"/>
  <c r="G119"/>
  <c r="K119" s="1"/>
  <c r="O119" s="1"/>
  <c r="J119"/>
  <c r="N119" s="1"/>
  <c r="L119"/>
  <c r="M119"/>
  <c r="F120"/>
  <c r="G120"/>
  <c r="K120" s="1"/>
  <c r="O120" s="1"/>
  <c r="J120"/>
  <c r="N120" s="1"/>
  <c r="L120"/>
  <c r="M120"/>
  <c r="F121"/>
  <c r="G121"/>
  <c r="K121" s="1"/>
  <c r="O121" s="1"/>
  <c r="J121"/>
  <c r="N121" s="1"/>
  <c r="L121"/>
  <c r="M121"/>
  <c r="F122"/>
  <c r="G122"/>
  <c r="K122" s="1"/>
  <c r="O122" s="1"/>
  <c r="J122"/>
  <c r="N122" s="1"/>
  <c r="L122"/>
  <c r="M122"/>
  <c r="F123"/>
  <c r="G123"/>
  <c r="K123" s="1"/>
  <c r="O123" s="1"/>
  <c r="J123"/>
  <c r="N123" s="1"/>
  <c r="L123"/>
  <c r="M123"/>
  <c r="F124"/>
  <c r="G124"/>
  <c r="K124" s="1"/>
  <c r="O124" s="1"/>
  <c r="J124"/>
  <c r="N124" s="1"/>
  <c r="L124"/>
  <c r="M124"/>
  <c r="F125"/>
  <c r="G125"/>
  <c r="K125" s="1"/>
  <c r="O125" s="1"/>
  <c r="J125"/>
  <c r="N125" s="1"/>
  <c r="L125"/>
  <c r="M125"/>
  <c r="F126"/>
  <c r="G126"/>
  <c r="K126" s="1"/>
  <c r="O126" s="1"/>
  <c r="J126"/>
  <c r="N126" s="1"/>
  <c r="L126"/>
  <c r="M126"/>
  <c r="F127"/>
  <c r="G127"/>
  <c r="K127" s="1"/>
  <c r="O127" s="1"/>
  <c r="J127"/>
  <c r="N127" s="1"/>
  <c r="L127"/>
  <c r="M127"/>
  <c r="F128"/>
  <c r="G128"/>
  <c r="K128" s="1"/>
  <c r="O128" s="1"/>
  <c r="J128"/>
  <c r="N128" s="1"/>
  <c r="L128"/>
  <c r="M128"/>
  <c r="F129"/>
  <c r="G129"/>
  <c r="K129" s="1"/>
  <c r="O129" s="1"/>
  <c r="J129"/>
  <c r="N129" s="1"/>
  <c r="L129"/>
  <c r="M129"/>
  <c r="F130"/>
  <c r="G130"/>
  <c r="K130" s="1"/>
  <c r="J130"/>
  <c r="N130" s="1"/>
  <c r="L130"/>
  <c r="M130"/>
  <c r="F131"/>
  <c r="J131"/>
  <c r="N131" s="1"/>
  <c r="G131"/>
  <c r="K131"/>
  <c r="O131" s="1"/>
  <c r="L131"/>
  <c r="M131"/>
  <c r="F132"/>
  <c r="J132" s="1"/>
  <c r="G132"/>
  <c r="K132"/>
  <c r="O132" s="1"/>
  <c r="L132"/>
  <c r="M132"/>
  <c r="F133"/>
  <c r="J133"/>
  <c r="N133" s="1"/>
  <c r="G133"/>
  <c r="K133"/>
  <c r="O133" s="1"/>
  <c r="L133"/>
  <c r="M133"/>
  <c r="F134"/>
  <c r="J134" s="1"/>
  <c r="N134" s="1"/>
  <c r="G134"/>
  <c r="K134"/>
  <c r="O134" s="1"/>
  <c r="L134"/>
  <c r="M134"/>
  <c r="F135"/>
  <c r="J135"/>
  <c r="N135" s="1"/>
  <c r="G135"/>
  <c r="K135"/>
  <c r="O135" s="1"/>
  <c r="L135"/>
  <c r="M135"/>
  <c r="F136"/>
  <c r="J136" s="1"/>
  <c r="N136" s="1"/>
  <c r="G136"/>
  <c r="K136"/>
  <c r="O136" s="1"/>
  <c r="L136"/>
  <c r="M136"/>
  <c r="F137"/>
  <c r="J137"/>
  <c r="N137" s="1"/>
  <c r="G137"/>
  <c r="K137"/>
  <c r="O137" s="1"/>
  <c r="L137"/>
  <c r="M137"/>
  <c r="F138"/>
  <c r="J138" s="1"/>
  <c r="N138" s="1"/>
  <c r="G138"/>
  <c r="K138"/>
  <c r="O138" s="1"/>
  <c r="L138"/>
  <c r="M138"/>
  <c r="F139"/>
  <c r="J139"/>
  <c r="N139" s="1"/>
  <c r="G139"/>
  <c r="K139"/>
  <c r="O139" s="1"/>
  <c r="L139"/>
  <c r="M139"/>
  <c r="F140"/>
  <c r="J140" s="1"/>
  <c r="N140" s="1"/>
  <c r="G140"/>
  <c r="K140"/>
  <c r="O140" s="1"/>
  <c r="L140"/>
  <c r="M140"/>
  <c r="F141"/>
  <c r="J141"/>
  <c r="N141"/>
  <c r="G141"/>
  <c r="K141"/>
  <c r="O141" s="1"/>
  <c r="L141"/>
  <c r="M141"/>
  <c r="F142"/>
  <c r="J142" s="1"/>
  <c r="N142" s="1"/>
  <c r="G142"/>
  <c r="K142"/>
  <c r="O142" s="1"/>
  <c r="L142"/>
  <c r="M142"/>
  <c r="F143"/>
  <c r="J143"/>
  <c r="N143" s="1"/>
  <c r="G143"/>
  <c r="K143"/>
  <c r="O143" s="1"/>
  <c r="L143"/>
  <c r="M143"/>
  <c r="F144"/>
  <c r="J144"/>
  <c r="N144" s="1"/>
  <c r="G144"/>
  <c r="K144"/>
  <c r="O144" s="1"/>
  <c r="L144"/>
  <c r="M144"/>
  <c r="F145"/>
  <c r="J145"/>
  <c r="N145" s="1"/>
  <c r="G145"/>
  <c r="K145"/>
  <c r="O145" s="1"/>
  <c r="L145"/>
  <c r="M145"/>
  <c r="F146"/>
  <c r="J146"/>
  <c r="N146" s="1"/>
  <c r="G146"/>
  <c r="K146"/>
  <c r="O146" s="1"/>
  <c r="L146"/>
  <c r="M146"/>
  <c r="F147"/>
  <c r="J147"/>
  <c r="N147" s="1"/>
  <c r="G147"/>
  <c r="K147"/>
  <c r="O147" s="1"/>
  <c r="L147"/>
  <c r="M147"/>
  <c r="F148"/>
  <c r="J148"/>
  <c r="N148" s="1"/>
  <c r="G148"/>
  <c r="K148"/>
  <c r="O148" s="1"/>
  <c r="L148"/>
  <c r="M148"/>
  <c r="F149"/>
  <c r="J149"/>
  <c r="N149" s="1"/>
  <c r="G149"/>
  <c r="K149"/>
  <c r="O149" s="1"/>
  <c r="L149"/>
  <c r="M149"/>
  <c r="F150"/>
  <c r="J150"/>
  <c r="N150" s="1"/>
  <c r="G150"/>
  <c r="K150"/>
  <c r="O150" s="1"/>
  <c r="L150"/>
  <c r="M150"/>
  <c r="F151"/>
  <c r="J151"/>
  <c r="N151" s="1"/>
  <c r="G151"/>
  <c r="K151"/>
  <c r="O151" s="1"/>
  <c r="L151"/>
  <c r="M151"/>
  <c r="F152"/>
  <c r="J152"/>
  <c r="N152" s="1"/>
  <c r="G152"/>
  <c r="K152"/>
  <c r="O152" s="1"/>
  <c r="L152"/>
  <c r="M152"/>
  <c r="F153"/>
  <c r="J153"/>
  <c r="N153" s="1"/>
  <c r="G153"/>
  <c r="K153"/>
  <c r="L153"/>
  <c r="M153"/>
  <c r="O153"/>
  <c r="D154"/>
  <c r="F154"/>
  <c r="J154" s="1"/>
  <c r="N154" s="1"/>
  <c r="G154"/>
  <c r="K154"/>
  <c r="O154" s="1"/>
  <c r="L154"/>
  <c r="M154"/>
  <c r="F155"/>
  <c r="J155" s="1"/>
  <c r="N155" s="1"/>
  <c r="G155"/>
  <c r="K155"/>
  <c r="O155" s="1"/>
  <c r="L155"/>
  <c r="M155"/>
  <c r="F156"/>
  <c r="J156" s="1"/>
  <c r="N156" s="1"/>
  <c r="G156"/>
  <c r="K156"/>
  <c r="O156" s="1"/>
  <c r="L156"/>
  <c r="M156"/>
  <c r="F157"/>
  <c r="J157" s="1"/>
  <c r="N157" s="1"/>
  <c r="G157"/>
  <c r="K157"/>
  <c r="O157" s="1"/>
  <c r="L157"/>
  <c r="M157"/>
  <c r="D158"/>
  <c r="F158" s="1"/>
  <c r="G158"/>
  <c r="K158"/>
  <c r="L158"/>
  <c r="M158"/>
  <c r="O158"/>
  <c r="F159"/>
  <c r="J159"/>
  <c r="N159"/>
  <c r="G159"/>
  <c r="K159"/>
  <c r="L159"/>
  <c r="M159"/>
  <c r="O159"/>
  <c r="F160"/>
  <c r="J160"/>
  <c r="N160"/>
  <c r="G160"/>
  <c r="K160"/>
  <c r="L160"/>
  <c r="M160"/>
  <c r="O160"/>
  <c r="F161"/>
  <c r="J161"/>
  <c r="N161"/>
  <c r="G161"/>
  <c r="K161"/>
  <c r="L161"/>
  <c r="M161"/>
  <c r="O161"/>
  <c r="F162"/>
  <c r="J162"/>
  <c r="N162"/>
  <c r="G162"/>
  <c r="K162"/>
  <c r="L162"/>
  <c r="M162"/>
  <c r="O162"/>
  <c r="F163"/>
  <c r="J163"/>
  <c r="N163"/>
  <c r="G163"/>
  <c r="K163"/>
  <c r="L163"/>
  <c r="M163"/>
  <c r="O163"/>
  <c r="F164"/>
  <c r="J164"/>
  <c r="N164"/>
  <c r="G164"/>
  <c r="K164"/>
  <c r="L164"/>
  <c r="M164"/>
  <c r="O164"/>
  <c r="F165"/>
  <c r="J165"/>
  <c r="N165"/>
  <c r="G165"/>
  <c r="K165"/>
  <c r="L165"/>
  <c r="M165"/>
  <c r="O165"/>
  <c r="F166"/>
  <c r="J166"/>
  <c r="N166"/>
  <c r="G166"/>
  <c r="K166"/>
  <c r="L166"/>
  <c r="M166"/>
  <c r="O166"/>
  <c r="F167"/>
  <c r="J167"/>
  <c r="N167"/>
  <c r="G167"/>
  <c r="K167"/>
  <c r="L167"/>
  <c r="M167"/>
  <c r="O167"/>
  <c r="F168"/>
  <c r="J168"/>
  <c r="N168"/>
  <c r="G168"/>
  <c r="K168"/>
  <c r="L168"/>
  <c r="M168"/>
  <c r="O168"/>
  <c r="F169"/>
  <c r="J169"/>
  <c r="N169"/>
  <c r="G169"/>
  <c r="K169"/>
  <c r="L169"/>
  <c r="M169"/>
  <c r="O169"/>
  <c r="F170"/>
  <c r="J170"/>
  <c r="N170"/>
  <c r="G170"/>
  <c r="K170"/>
  <c r="L170"/>
  <c r="M170"/>
  <c r="O170"/>
  <c r="D171"/>
  <c r="F171"/>
  <c r="J171"/>
  <c r="N171"/>
  <c r="G171"/>
  <c r="K171"/>
  <c r="O171"/>
  <c r="L171"/>
  <c r="M171"/>
  <c r="F172"/>
  <c r="J172"/>
  <c r="N172"/>
  <c r="G172"/>
  <c r="K172"/>
  <c r="O172" s="1"/>
  <c r="L172"/>
  <c r="M172"/>
  <c r="F173"/>
  <c r="J173"/>
  <c r="N173"/>
  <c r="G173"/>
  <c r="K173"/>
  <c r="O173" s="1"/>
  <c r="L173"/>
  <c r="M173"/>
  <c r="F174"/>
  <c r="J174"/>
  <c r="N174"/>
  <c r="G174"/>
  <c r="K174"/>
  <c r="O174"/>
  <c r="L174"/>
  <c r="M174"/>
  <c r="F175"/>
  <c r="J175"/>
  <c r="N175"/>
  <c r="G175"/>
  <c r="K175"/>
  <c r="O175" s="1"/>
  <c r="L175"/>
  <c r="M175"/>
  <c r="F176"/>
  <c r="J176"/>
  <c r="N176"/>
  <c r="G176"/>
  <c r="K176"/>
  <c r="O176"/>
  <c r="L176"/>
  <c r="M176"/>
  <c r="F177"/>
  <c r="J177"/>
  <c r="N177"/>
  <c r="G177"/>
  <c r="K177"/>
  <c r="O177" s="1"/>
  <c r="L177"/>
  <c r="M177"/>
  <c r="F178"/>
  <c r="J178"/>
  <c r="N178"/>
  <c r="G178"/>
  <c r="K178"/>
  <c r="O178" s="1"/>
  <c r="L178"/>
  <c r="M178"/>
  <c r="F179"/>
  <c r="J179"/>
  <c r="N179"/>
  <c r="G179"/>
  <c r="K179"/>
  <c r="O179"/>
  <c r="L179"/>
  <c r="M179"/>
  <c r="F180"/>
  <c r="J180"/>
  <c r="N180"/>
  <c r="G180"/>
  <c r="K180"/>
  <c r="O180"/>
  <c r="L180"/>
  <c r="M180"/>
  <c r="F181"/>
  <c r="J181"/>
  <c r="N181"/>
  <c r="G181"/>
  <c r="K181"/>
  <c r="O181"/>
  <c r="L181"/>
  <c r="M181"/>
  <c r="F182"/>
  <c r="J182"/>
  <c r="N182"/>
  <c r="G182"/>
  <c r="K182"/>
  <c r="O182"/>
  <c r="L182"/>
  <c r="M182"/>
  <c r="F183"/>
  <c r="J183"/>
  <c r="N183"/>
  <c r="G183"/>
  <c r="K183"/>
  <c r="O183" s="1"/>
  <c r="L183"/>
  <c r="M183"/>
  <c r="F184"/>
  <c r="J184"/>
  <c r="N184"/>
  <c r="G184"/>
  <c r="K184"/>
  <c r="O184" s="1"/>
  <c r="L184"/>
  <c r="M184"/>
  <c r="F185"/>
  <c r="J185"/>
  <c r="N185"/>
  <c r="G185"/>
  <c r="K185"/>
  <c r="O185"/>
  <c r="L185"/>
  <c r="M185"/>
  <c r="F186"/>
  <c r="J186"/>
  <c r="N186"/>
  <c r="G186"/>
  <c r="K186"/>
  <c r="O186" s="1"/>
  <c r="L186"/>
  <c r="M186"/>
  <c r="F187"/>
  <c r="J187"/>
  <c r="N187"/>
  <c r="G187"/>
  <c r="K187"/>
  <c r="O187"/>
  <c r="L187"/>
  <c r="M187"/>
  <c r="F188"/>
  <c r="J188"/>
  <c r="N188"/>
  <c r="G188"/>
  <c r="K188"/>
  <c r="O188" s="1"/>
  <c r="L188"/>
  <c r="M188"/>
  <c r="F189"/>
  <c r="J189"/>
  <c r="N189"/>
  <c r="G189"/>
  <c r="K189"/>
  <c r="O189"/>
  <c r="L189"/>
  <c r="M189"/>
  <c r="F190"/>
  <c r="J190"/>
  <c r="N190"/>
  <c r="G190"/>
  <c r="K190"/>
  <c r="O190" s="1"/>
  <c r="L190"/>
  <c r="M190"/>
  <c r="F191"/>
  <c r="J191"/>
  <c r="N191"/>
  <c r="G191"/>
  <c r="K191"/>
  <c r="O191"/>
  <c r="L191"/>
  <c r="M191"/>
  <c r="F192"/>
  <c r="J192"/>
  <c r="N192"/>
  <c r="G192"/>
  <c r="K192"/>
  <c r="O192"/>
  <c r="L192"/>
  <c r="M192"/>
  <c r="F193"/>
  <c r="J193"/>
  <c r="N193"/>
  <c r="G193"/>
  <c r="K193"/>
  <c r="O193" s="1"/>
  <c r="L193"/>
  <c r="M193"/>
  <c r="F194"/>
  <c r="J194"/>
  <c r="N194"/>
  <c r="G194"/>
  <c r="K194"/>
  <c r="O194"/>
  <c r="L194"/>
  <c r="M194"/>
  <c r="F195"/>
  <c r="J195"/>
  <c r="N195"/>
  <c r="G195"/>
  <c r="K195"/>
  <c r="O195" s="1"/>
  <c r="L195"/>
  <c r="M195"/>
  <c r="F196"/>
  <c r="J196"/>
  <c r="N196"/>
  <c r="G196"/>
  <c r="K196"/>
  <c r="O196" s="1"/>
  <c r="L196"/>
  <c r="M196"/>
  <c r="F197"/>
  <c r="J197"/>
  <c r="N197"/>
  <c r="G197"/>
  <c r="K197"/>
  <c r="O197"/>
  <c r="L197"/>
  <c r="M197"/>
  <c r="F198"/>
  <c r="J198"/>
  <c r="N198"/>
  <c r="G198"/>
  <c r="K198"/>
  <c r="O198"/>
  <c r="L198"/>
  <c r="M198"/>
  <c r="F199"/>
  <c r="J199"/>
  <c r="N199"/>
  <c r="G199"/>
  <c r="K199"/>
  <c r="O199" s="1"/>
  <c r="L199"/>
  <c r="M199"/>
  <c r="F200"/>
  <c r="J200"/>
  <c r="N200"/>
  <c r="G200"/>
  <c r="K200"/>
  <c r="O200"/>
  <c r="L200"/>
  <c r="M200"/>
  <c r="F201"/>
  <c r="J201"/>
  <c r="N201"/>
  <c r="G201"/>
  <c r="K201"/>
  <c r="O201"/>
  <c r="L201"/>
  <c r="M201"/>
  <c r="F202"/>
  <c r="J202"/>
  <c r="N202"/>
  <c r="G202"/>
  <c r="K202"/>
  <c r="O202"/>
  <c r="L202"/>
  <c r="M202"/>
  <c r="F203"/>
  <c r="J203"/>
  <c r="N203"/>
  <c r="G203"/>
  <c r="K203"/>
  <c r="O203"/>
  <c r="L203"/>
  <c r="M203"/>
  <c r="F204"/>
  <c r="J204"/>
  <c r="N204"/>
  <c r="G204"/>
  <c r="K204"/>
  <c r="O204"/>
  <c r="L204"/>
  <c r="M204"/>
  <c r="F205"/>
  <c r="J205"/>
  <c r="N205"/>
  <c r="G205"/>
  <c r="K205"/>
  <c r="O205" s="1"/>
  <c r="L205"/>
  <c r="M205"/>
  <c r="F206"/>
  <c r="J206"/>
  <c r="N206"/>
  <c r="G206"/>
  <c r="K206"/>
  <c r="O206"/>
  <c r="L206"/>
  <c r="M206"/>
  <c r="F207"/>
  <c r="J207"/>
  <c r="N207"/>
  <c r="G207"/>
  <c r="K207"/>
  <c r="O207" s="1"/>
  <c r="L207"/>
  <c r="M207"/>
  <c r="F208"/>
  <c r="J208"/>
  <c r="N208"/>
  <c r="G208"/>
  <c r="K208"/>
  <c r="O208"/>
  <c r="L208"/>
  <c r="M208"/>
  <c r="F209"/>
  <c r="J209"/>
  <c r="N209"/>
  <c r="G209"/>
  <c r="K209"/>
  <c r="O209"/>
  <c r="L209"/>
  <c r="M209"/>
  <c r="F210"/>
  <c r="J210"/>
  <c r="N210"/>
  <c r="G210"/>
  <c r="K210"/>
  <c r="O210" s="1"/>
  <c r="L210"/>
  <c r="M210"/>
  <c r="F211"/>
  <c r="J211"/>
  <c r="N211"/>
  <c r="G211"/>
  <c r="K211"/>
  <c r="O211"/>
  <c r="L211"/>
  <c r="M211"/>
  <c r="F212"/>
  <c r="J212"/>
  <c r="N212"/>
  <c r="G212"/>
  <c r="K212"/>
  <c r="O212"/>
  <c r="L212"/>
  <c r="M212"/>
  <c r="F213"/>
  <c r="J213"/>
  <c r="N213"/>
  <c r="G213"/>
  <c r="K213"/>
  <c r="O213"/>
  <c r="L213"/>
  <c r="M213"/>
  <c r="F214"/>
  <c r="J214"/>
  <c r="N214"/>
  <c r="G214"/>
  <c r="K214"/>
  <c r="O214"/>
  <c r="L214"/>
  <c r="M214"/>
  <c r="F215"/>
  <c r="J215"/>
  <c r="N215"/>
  <c r="G215"/>
  <c r="K215"/>
  <c r="O215"/>
  <c r="L215"/>
  <c r="M215"/>
  <c r="F216"/>
  <c r="J216"/>
  <c r="N216"/>
  <c r="G216"/>
  <c r="K216"/>
  <c r="O216"/>
  <c r="L216"/>
  <c r="M216"/>
  <c r="F217"/>
  <c r="J217"/>
  <c r="N217"/>
  <c r="G217"/>
  <c r="K217"/>
  <c r="O217" s="1"/>
  <c r="L217"/>
  <c r="M217"/>
  <c r="F218"/>
  <c r="J218"/>
  <c r="N218"/>
  <c r="G218"/>
  <c r="K218"/>
  <c r="O218"/>
  <c r="L218"/>
  <c r="M218"/>
  <c r="F219"/>
  <c r="J219"/>
  <c r="N219"/>
  <c r="G219"/>
  <c r="K219"/>
  <c r="O219"/>
  <c r="L219"/>
  <c r="M219"/>
  <c r="F220"/>
  <c r="J220"/>
  <c r="N220"/>
  <c r="G220"/>
  <c r="K220"/>
  <c r="O220"/>
  <c r="L220"/>
  <c r="M220"/>
  <c r="F221"/>
  <c r="J221"/>
  <c r="N221"/>
  <c r="G221"/>
  <c r="K221"/>
  <c r="O221"/>
  <c r="L221"/>
  <c r="M221"/>
  <c r="F222"/>
  <c r="J222"/>
  <c r="N222"/>
  <c r="G222"/>
  <c r="K222"/>
  <c r="O222"/>
  <c r="L222"/>
  <c r="M222"/>
  <c r="F223"/>
  <c r="J223"/>
  <c r="N223"/>
  <c r="G223"/>
  <c r="K223"/>
  <c r="O223"/>
  <c r="L223"/>
  <c r="M223"/>
  <c r="F224"/>
  <c r="J224"/>
  <c r="N224"/>
  <c r="G224"/>
  <c r="K224"/>
  <c r="O224"/>
  <c r="L224"/>
  <c r="M224"/>
  <c r="F225"/>
  <c r="J225"/>
  <c r="N225"/>
  <c r="G225"/>
  <c r="K225"/>
  <c r="O225"/>
  <c r="L225"/>
  <c r="M225"/>
  <c r="F226"/>
  <c r="J226"/>
  <c r="N226"/>
  <c r="G226"/>
  <c r="K226"/>
  <c r="O226"/>
  <c r="L226"/>
  <c r="M226"/>
  <c r="F227"/>
  <c r="J227"/>
  <c r="N227"/>
  <c r="G227"/>
  <c r="K227"/>
  <c r="O227"/>
  <c r="L227"/>
  <c r="M227"/>
  <c r="F228"/>
  <c r="J228"/>
  <c r="N228"/>
  <c r="G228"/>
  <c r="K228"/>
  <c r="O228"/>
  <c r="L228"/>
  <c r="M228"/>
  <c r="F229"/>
  <c r="J229"/>
  <c r="N229"/>
  <c r="G229"/>
  <c r="K229"/>
  <c r="O229"/>
  <c r="L229"/>
  <c r="M229"/>
  <c r="F230"/>
  <c r="J230"/>
  <c r="N230"/>
  <c r="G230"/>
  <c r="K230"/>
  <c r="O230"/>
  <c r="L230"/>
  <c r="M230"/>
  <c r="F231"/>
  <c r="J231"/>
  <c r="N231"/>
  <c r="G231"/>
  <c r="K231"/>
  <c r="O231"/>
  <c r="L231"/>
  <c r="M231"/>
  <c r="E232"/>
  <c r="G232"/>
  <c r="H232"/>
  <c r="I232"/>
  <c r="D232"/>
  <c r="G160" i="17"/>
  <c r="H17" i="2"/>
  <c r="E11"/>
  <c r="G9"/>
  <c r="Q16" i="8"/>
  <c r="S16" s="1"/>
  <c r="S19" s="1"/>
  <c r="C34" i="2"/>
  <c r="C54" s="1"/>
  <c r="C57" s="1"/>
  <c r="C79" s="1"/>
  <c r="C83" s="1"/>
  <c r="F33" i="23" l="1"/>
  <c r="G31"/>
  <c r="D33"/>
  <c r="E33"/>
  <c r="G21"/>
  <c r="R32" i="33"/>
  <c r="R32" i="37"/>
  <c r="K52" i="35"/>
  <c r="K93" s="1"/>
  <c r="R46" i="33"/>
  <c r="R46" i="37"/>
  <c r="C27" i="12"/>
  <c r="C58"/>
  <c r="G18" i="22"/>
  <c r="G8" i="17"/>
  <c r="G45" s="1"/>
  <c r="G52" i="35"/>
  <c r="G93" s="1"/>
  <c r="N52"/>
  <c r="N93" s="1"/>
  <c r="M52"/>
  <c r="M93" s="1"/>
  <c r="I52"/>
  <c r="I93" s="1"/>
  <c r="L52"/>
  <c r="L93" s="1"/>
  <c r="P52"/>
  <c r="P93" s="1"/>
  <c r="J52"/>
  <c r="J93" s="1"/>
  <c r="L29" i="32"/>
  <c r="F52" i="35"/>
  <c r="F93" s="1"/>
  <c r="O116"/>
  <c r="O126" s="1"/>
  <c r="O133" s="1"/>
  <c r="O52"/>
  <c r="O93" s="1"/>
  <c r="H29" i="32"/>
  <c r="R76"/>
  <c r="I78"/>
  <c r="M78"/>
  <c r="F126" i="35"/>
  <c r="F133" s="1"/>
  <c r="G12" i="32"/>
  <c r="G29"/>
  <c r="K29"/>
  <c r="O29"/>
  <c r="I29"/>
  <c r="M29"/>
  <c r="N126" i="35"/>
  <c r="N133" s="1"/>
  <c r="Q52"/>
  <c r="R52" s="1"/>
  <c r="P29" i="32"/>
  <c r="L63"/>
  <c r="I105"/>
  <c r="I116" s="1"/>
  <c r="I126" s="1"/>
  <c r="I133" s="1"/>
  <c r="M105"/>
  <c r="M116" s="1"/>
  <c r="M126" s="1"/>
  <c r="M133" s="1"/>
  <c r="Q105"/>
  <c r="R105" s="1"/>
  <c r="H52" i="35"/>
  <c r="H93" s="1"/>
  <c r="R116"/>
  <c r="R126" s="1"/>
  <c r="R133" s="1"/>
  <c r="Q116"/>
  <c r="Q126" s="1"/>
  <c r="Q133" s="1"/>
  <c r="G72" i="17"/>
  <c r="G49" s="1"/>
  <c r="G109" s="1"/>
  <c r="G111" s="1"/>
  <c r="O130" i="1"/>
  <c r="O232" s="1"/>
  <c r="K232"/>
  <c r="J158"/>
  <c r="N158" s="1"/>
  <c r="F232"/>
  <c r="N132"/>
  <c r="N232"/>
  <c r="G33" i="23"/>
  <c r="I68" i="29"/>
  <c r="L232" i="1"/>
  <c r="G17" i="29"/>
  <c r="H19"/>
  <c r="H27"/>
  <c r="G32"/>
  <c r="H60"/>
  <c r="H65"/>
  <c r="H68"/>
  <c r="J68" s="1"/>
  <c r="G72"/>
  <c r="I72" s="1"/>
  <c r="E85"/>
  <c r="G85" s="1"/>
  <c r="E96"/>
  <c r="G96" s="1"/>
  <c r="F97"/>
  <c r="H97" s="1"/>
  <c r="H28" i="2"/>
  <c r="H22"/>
  <c r="G16"/>
  <c r="G24" s="1"/>
  <c r="G57" s="1"/>
  <c r="G79" s="1"/>
  <c r="G83" s="1"/>
  <c r="G14" i="29"/>
  <c r="F17"/>
  <c r="G22"/>
  <c r="F25"/>
  <c r="G25" s="1"/>
  <c r="F32"/>
  <c r="H37"/>
  <c r="G41"/>
  <c r="F48"/>
  <c r="G48" s="1"/>
  <c r="H96"/>
  <c r="H52" i="2"/>
  <c r="E37" i="29"/>
  <c r="E40"/>
  <c r="G40" s="1"/>
  <c r="F41"/>
  <c r="E53"/>
  <c r="H53" s="1"/>
  <c r="E56"/>
  <c r="G56" s="1"/>
  <c r="F84"/>
  <c r="H84" s="1"/>
  <c r="F88"/>
  <c r="H88" s="1"/>
  <c r="F92"/>
  <c r="H92" s="1"/>
  <c r="F95"/>
  <c r="H95" s="1"/>
  <c r="H107"/>
  <c r="J107" s="1"/>
  <c r="J14"/>
  <c r="E18"/>
  <c r="G18" s="1"/>
  <c r="J22"/>
  <c r="E26"/>
  <c r="G26" s="1"/>
  <c r="E28"/>
  <c r="G28" s="1"/>
  <c r="H29"/>
  <c r="E33"/>
  <c r="G33" s="1"/>
  <c r="E43"/>
  <c r="H45"/>
  <c r="E49"/>
  <c r="G49" s="1"/>
  <c r="E59"/>
  <c r="G64"/>
  <c r="I64" s="1"/>
  <c r="H70"/>
  <c r="J70" s="1"/>
  <c r="F76"/>
  <c r="H76" s="1"/>
  <c r="G103"/>
  <c r="I103" s="1"/>
  <c r="H156"/>
  <c r="H99"/>
  <c r="J99" s="1"/>
  <c r="G110"/>
  <c r="E114"/>
  <c r="G114" s="1"/>
  <c r="F114"/>
  <c r="E117"/>
  <c r="E121"/>
  <c r="H121" s="1"/>
  <c r="E125"/>
  <c r="H127"/>
  <c r="E131"/>
  <c r="G131" s="1"/>
  <c r="F139"/>
  <c r="G139" s="1"/>
  <c r="E142"/>
  <c r="H144"/>
  <c r="E148"/>
  <c r="F149"/>
  <c r="E155"/>
  <c r="G155" s="1"/>
  <c r="F155"/>
  <c r="E158"/>
  <c r="G158" s="1"/>
  <c r="E161"/>
  <c r="H161" s="1"/>
  <c r="J161" s="1"/>
  <c r="E164"/>
  <c r="H164" s="1"/>
  <c r="E172"/>
  <c r="H172" s="1"/>
  <c r="J172" s="1"/>
  <c r="E180"/>
  <c r="H180" s="1"/>
  <c r="E183"/>
  <c r="H183" s="1"/>
  <c r="F184"/>
  <c r="E190"/>
  <c r="F190"/>
  <c r="H148"/>
  <c r="F157"/>
  <c r="H157" s="1"/>
  <c r="E157"/>
  <c r="G165"/>
  <c r="I165" s="1"/>
  <c r="H173"/>
  <c r="H181"/>
  <c r="H182"/>
  <c r="C194"/>
  <c r="F15"/>
  <c r="H15" s="1"/>
  <c r="F16"/>
  <c r="E21"/>
  <c r="H21" s="1"/>
  <c r="F23"/>
  <c r="H23" s="1"/>
  <c r="F31"/>
  <c r="H31" s="1"/>
  <c r="E36"/>
  <c r="H36" s="1"/>
  <c r="J36" s="1"/>
  <c r="F39"/>
  <c r="H39" s="1"/>
  <c r="E44"/>
  <c r="H44" s="1"/>
  <c r="F47"/>
  <c r="H47" s="1"/>
  <c r="E52"/>
  <c r="H52" s="1"/>
  <c r="F55"/>
  <c r="H55" s="1"/>
  <c r="E60"/>
  <c r="E62"/>
  <c r="E63"/>
  <c r="H63" s="1"/>
  <c r="J63" s="1"/>
  <c r="E67"/>
  <c r="E70"/>
  <c r="G70" s="1"/>
  <c r="F73"/>
  <c r="H73" s="1"/>
  <c r="F74"/>
  <c r="E78"/>
  <c r="G78" s="1"/>
  <c r="F79"/>
  <c r="E82"/>
  <c r="H82" s="1"/>
  <c r="F83"/>
  <c r="G83" s="1"/>
  <c r="F87"/>
  <c r="G87" s="1"/>
  <c r="F91"/>
  <c r="H91" s="1"/>
  <c r="F98"/>
  <c r="F102"/>
  <c r="H102" s="1"/>
  <c r="F106"/>
  <c r="H106" s="1"/>
  <c r="F110"/>
  <c r="E115"/>
  <c r="G115" s="1"/>
  <c r="F116"/>
  <c r="F130"/>
  <c r="H130" s="1"/>
  <c r="E133"/>
  <c r="H135"/>
  <c r="H136"/>
  <c r="E140"/>
  <c r="H140" s="1"/>
  <c r="F141"/>
  <c r="F147"/>
  <c r="G147" s="1"/>
  <c r="E150"/>
  <c r="G151"/>
  <c r="H152"/>
  <c r="E156"/>
  <c r="E162"/>
  <c r="G162" s="1"/>
  <c r="F163"/>
  <c r="G168"/>
  <c r="E185"/>
  <c r="G186"/>
  <c r="I186" s="1"/>
  <c r="H187"/>
  <c r="E191"/>
  <c r="H191" s="1"/>
  <c r="J191" s="1"/>
  <c r="F192"/>
  <c r="E89"/>
  <c r="G89" s="1"/>
  <c r="F90"/>
  <c r="F93"/>
  <c r="E105"/>
  <c r="E109"/>
  <c r="G109" s="1"/>
  <c r="F119"/>
  <c r="H119" s="1"/>
  <c r="F123"/>
  <c r="H123" s="1"/>
  <c r="E126"/>
  <c r="G126" s="1"/>
  <c r="E134"/>
  <c r="G134" s="1"/>
  <c r="E143"/>
  <c r="H143" s="1"/>
  <c r="F159"/>
  <c r="E167"/>
  <c r="F169"/>
  <c r="G169" s="1"/>
  <c r="E175"/>
  <c r="G175" s="1"/>
  <c r="F177"/>
  <c r="H177" s="1"/>
  <c r="F178"/>
  <c r="L32" i="30"/>
  <c r="H12" i="32"/>
  <c r="L12"/>
  <c r="P12"/>
  <c r="G56"/>
  <c r="K56"/>
  <c r="J69"/>
  <c r="F81"/>
  <c r="N81"/>
  <c r="Q81"/>
  <c r="R81" s="1"/>
  <c r="G88"/>
  <c r="O88"/>
  <c r="F120"/>
  <c r="F124" s="1"/>
  <c r="J120"/>
  <c r="J124" s="1"/>
  <c r="N120"/>
  <c r="N124" s="1"/>
  <c r="Q124"/>
  <c r="R124" s="1"/>
  <c r="I42" i="30"/>
  <c r="M42"/>
  <c r="F12" i="32"/>
  <c r="J12"/>
  <c r="N12"/>
  <c r="R13"/>
  <c r="R12" s="1"/>
  <c r="H56"/>
  <c r="Q69"/>
  <c r="R69" s="1"/>
  <c r="H101"/>
  <c r="L101"/>
  <c r="P101"/>
  <c r="K105"/>
  <c r="K116" s="1"/>
  <c r="K126" s="1"/>
  <c r="K133" s="1"/>
  <c r="Q131"/>
  <c r="E149" i="30"/>
  <c r="I149"/>
  <c r="M149"/>
  <c r="F29" i="32"/>
  <c r="J29"/>
  <c r="N29"/>
  <c r="F63"/>
  <c r="J63"/>
  <c r="N63"/>
  <c r="L66"/>
  <c r="F78"/>
  <c r="J78"/>
  <c r="N78"/>
  <c r="P157" i="30"/>
  <c r="P161" s="1"/>
  <c r="G60" i="32"/>
  <c r="O60"/>
  <c r="G72"/>
  <c r="K72"/>
  <c r="O72"/>
  <c r="L75"/>
  <c r="G84"/>
  <c r="O84"/>
  <c r="G105"/>
  <c r="G116" s="1"/>
  <c r="O105"/>
  <c r="O116" s="1"/>
  <c r="O126" s="1"/>
  <c r="O133" s="1"/>
  <c r="H105"/>
  <c r="L105"/>
  <c r="P105"/>
  <c r="F105"/>
  <c r="F116" s="1"/>
  <c r="F126" s="1"/>
  <c r="F133" s="1"/>
  <c r="J105"/>
  <c r="J116" s="1"/>
  <c r="J126" s="1"/>
  <c r="J133" s="1"/>
  <c r="N105"/>
  <c r="N116" s="1"/>
  <c r="I66"/>
  <c r="Q66"/>
  <c r="R66" s="1"/>
  <c r="R65"/>
  <c r="H63"/>
  <c r="P63"/>
  <c r="P52" s="1"/>
  <c r="P93" s="1"/>
  <c r="Q29"/>
  <c r="R29" s="1"/>
  <c r="R54"/>
  <c r="R102"/>
  <c r="R107"/>
  <c r="Q60"/>
  <c r="R60" s="1"/>
  <c r="R58"/>
  <c r="Q84"/>
  <c r="R84" s="1"/>
  <c r="R82"/>
  <c r="Q88"/>
  <c r="R88" s="1"/>
  <c r="R86"/>
  <c r="G120"/>
  <c r="G124" s="1"/>
  <c r="Q72"/>
  <c r="R72" s="1"/>
  <c r="R70"/>
  <c r="R73"/>
  <c r="Q116"/>
  <c r="R113"/>
  <c r="R34" i="37" s="1"/>
  <c r="I63" i="32"/>
  <c r="M63"/>
  <c r="Q63"/>
  <c r="R63" s="1"/>
  <c r="F66"/>
  <c r="J66"/>
  <c r="N66"/>
  <c r="F149" i="30"/>
  <c r="J149"/>
  <c r="N149"/>
  <c r="D149"/>
  <c r="H149"/>
  <c r="L149"/>
  <c r="G149"/>
  <c r="K149"/>
  <c r="O149"/>
  <c r="H126"/>
  <c r="L126"/>
  <c r="G126"/>
  <c r="K126"/>
  <c r="O126"/>
  <c r="D126"/>
  <c r="F126"/>
  <c r="J126"/>
  <c r="N126"/>
  <c r="E126"/>
  <c r="I126"/>
  <c r="M126"/>
  <c r="G74"/>
  <c r="K74"/>
  <c r="O74"/>
  <c r="D74"/>
  <c r="H74"/>
  <c r="L74"/>
  <c r="F74"/>
  <c r="J74"/>
  <c r="N74"/>
  <c r="E74"/>
  <c r="I74"/>
  <c r="M74"/>
  <c r="F42"/>
  <c r="J42"/>
  <c r="N42"/>
  <c r="D42"/>
  <c r="H42"/>
  <c r="L42"/>
  <c r="G42"/>
  <c r="K42"/>
  <c r="O42"/>
  <c r="E32"/>
  <c r="E44" s="1"/>
  <c r="I32"/>
  <c r="M32"/>
  <c r="F32"/>
  <c r="J32"/>
  <c r="J44" s="1"/>
  <c r="N32"/>
  <c r="D32"/>
  <c r="H32"/>
  <c r="H44" s="1"/>
  <c r="G32"/>
  <c r="K32"/>
  <c r="O32"/>
  <c r="P74"/>
  <c r="P126"/>
  <c r="P13"/>
  <c r="P32" s="1"/>
  <c r="P37"/>
  <c r="P42" s="1"/>
  <c r="P132"/>
  <c r="P149" s="1"/>
  <c r="G51" i="29"/>
  <c r="I51" s="1"/>
  <c r="H28"/>
  <c r="J28" s="1"/>
  <c r="I28"/>
  <c r="K28" s="1"/>
  <c r="I14"/>
  <c r="K14" s="1"/>
  <c r="H17"/>
  <c r="J17" s="1"/>
  <c r="H18"/>
  <c r="J18" s="1"/>
  <c r="G19"/>
  <c r="I19" s="1"/>
  <c r="I22"/>
  <c r="K22" s="1"/>
  <c r="H25"/>
  <c r="H26"/>
  <c r="J26" s="1"/>
  <c r="G27"/>
  <c r="I27" s="1"/>
  <c r="I18"/>
  <c r="K18" s="1"/>
  <c r="G21"/>
  <c r="D194"/>
  <c r="E16"/>
  <c r="G16" s="1"/>
  <c r="E20"/>
  <c r="G20" s="1"/>
  <c r="G31"/>
  <c r="I31" s="1"/>
  <c r="F34"/>
  <c r="E34"/>
  <c r="G34" s="1"/>
  <c r="F42"/>
  <c r="E42"/>
  <c r="G42" s="1"/>
  <c r="G47"/>
  <c r="I47" s="1"/>
  <c r="F50"/>
  <c r="E50"/>
  <c r="H61"/>
  <c r="J61" s="1"/>
  <c r="G63"/>
  <c r="G65"/>
  <c r="I65" s="1"/>
  <c r="E66"/>
  <c r="G66" s="1"/>
  <c r="K68"/>
  <c r="F71"/>
  <c r="E71"/>
  <c r="G71" s="1"/>
  <c r="F75"/>
  <c r="E75"/>
  <c r="E13"/>
  <c r="G29"/>
  <c r="I29" s="1"/>
  <c r="H32"/>
  <c r="J32" s="1"/>
  <c r="F35"/>
  <c r="H35" s="1"/>
  <c r="G36"/>
  <c r="G37"/>
  <c r="I37" s="1"/>
  <c r="H40"/>
  <c r="J40" s="1"/>
  <c r="F43"/>
  <c r="H43" s="1"/>
  <c r="G44"/>
  <c r="G45"/>
  <c r="I45" s="1"/>
  <c r="H48"/>
  <c r="F51"/>
  <c r="H51" s="1"/>
  <c r="G52"/>
  <c r="G53"/>
  <c r="E54"/>
  <c r="H56"/>
  <c r="J56" s="1"/>
  <c r="F59"/>
  <c r="H59" s="1"/>
  <c r="G60"/>
  <c r="I60" s="1"/>
  <c r="J72"/>
  <c r="L72" s="1"/>
  <c r="J31"/>
  <c r="L31" s="1"/>
  <c r="J65"/>
  <c r="L65" s="1"/>
  <c r="I70"/>
  <c r="K70" s="1"/>
  <c r="K72"/>
  <c r="M72" s="1"/>
  <c r="F13"/>
  <c r="F30"/>
  <c r="H30" s="1"/>
  <c r="E30"/>
  <c r="H33"/>
  <c r="J33" s="1"/>
  <c r="F38"/>
  <c r="E38"/>
  <c r="G38" s="1"/>
  <c r="H41"/>
  <c r="J41" s="1"/>
  <c r="F46"/>
  <c r="E46"/>
  <c r="G46" s="1"/>
  <c r="H49"/>
  <c r="J49" s="1"/>
  <c r="F67"/>
  <c r="H69"/>
  <c r="J69" s="1"/>
  <c r="G73"/>
  <c r="I73" s="1"/>
  <c r="E74"/>
  <c r="G74" s="1"/>
  <c r="G76"/>
  <c r="I76" s="1"/>
  <c r="H81"/>
  <c r="J81" s="1"/>
  <c r="G84"/>
  <c r="I84" s="1"/>
  <c r="H85"/>
  <c r="J85" s="1"/>
  <c r="G88"/>
  <c r="I88" s="1"/>
  <c r="H89"/>
  <c r="J89" s="1"/>
  <c r="G92"/>
  <c r="I92" s="1"/>
  <c r="G77"/>
  <c r="I77" s="1"/>
  <c r="E80"/>
  <c r="G80" s="1"/>
  <c r="J84"/>
  <c r="L84" s="1"/>
  <c r="J88"/>
  <c r="L88" s="1"/>
  <c r="J92"/>
  <c r="L92" s="1"/>
  <c r="E79"/>
  <c r="G79" s="1"/>
  <c r="G82"/>
  <c r="H83"/>
  <c r="J96"/>
  <c r="E93"/>
  <c r="G93" s="1"/>
  <c r="E94"/>
  <c r="G94" s="1"/>
  <c r="E98"/>
  <c r="G98" s="1"/>
  <c r="G102"/>
  <c r="I102" s="1"/>
  <c r="H110"/>
  <c r="J110" s="1"/>
  <c r="F112"/>
  <c r="E112"/>
  <c r="H115"/>
  <c r="E86"/>
  <c r="G86" s="1"/>
  <c r="E90"/>
  <c r="G90" s="1"/>
  <c r="E101"/>
  <c r="G101" s="1"/>
  <c r="F108"/>
  <c r="E108"/>
  <c r="F113"/>
  <c r="E116"/>
  <c r="F104"/>
  <c r="H104" s="1"/>
  <c r="E104"/>
  <c r="I110"/>
  <c r="K110" s="1"/>
  <c r="E120"/>
  <c r="F120"/>
  <c r="F124"/>
  <c r="E124"/>
  <c r="F132"/>
  <c r="E132"/>
  <c r="E100"/>
  <c r="G100" s="1"/>
  <c r="F105"/>
  <c r="H105" s="1"/>
  <c r="H111"/>
  <c r="J111" s="1"/>
  <c r="H114"/>
  <c r="J114" s="1"/>
  <c r="F117"/>
  <c r="H117" s="1"/>
  <c r="G119"/>
  <c r="I119" s="1"/>
  <c r="G121"/>
  <c r="G123"/>
  <c r="I123" s="1"/>
  <c r="E118"/>
  <c r="G118" s="1"/>
  <c r="F125"/>
  <c r="H125" s="1"/>
  <c r="G127"/>
  <c r="I127" s="1"/>
  <c r="F133"/>
  <c r="H133" s="1"/>
  <c r="G135"/>
  <c r="I135" s="1"/>
  <c r="F128"/>
  <c r="H128" s="1"/>
  <c r="E128"/>
  <c r="H131"/>
  <c r="E122"/>
  <c r="G122" s="1"/>
  <c r="H126"/>
  <c r="J126" s="1"/>
  <c r="F129"/>
  <c r="G130"/>
  <c r="I130" s="1"/>
  <c r="F138"/>
  <c r="H138" s="1"/>
  <c r="G140"/>
  <c r="E141"/>
  <c r="G141" s="1"/>
  <c r="F146"/>
  <c r="H146" s="1"/>
  <c r="G148"/>
  <c r="I148" s="1"/>
  <c r="E149"/>
  <c r="G149" s="1"/>
  <c r="H151"/>
  <c r="J151" s="1"/>
  <c r="F154"/>
  <c r="H154" s="1"/>
  <c r="G156"/>
  <c r="I156" s="1"/>
  <c r="G136"/>
  <c r="E137"/>
  <c r="G137" s="1"/>
  <c r="H139"/>
  <c r="F142"/>
  <c r="G143"/>
  <c r="G144"/>
  <c r="I144" s="1"/>
  <c r="E145"/>
  <c r="G145" s="1"/>
  <c r="H147"/>
  <c r="F150"/>
  <c r="G152"/>
  <c r="I152" s="1"/>
  <c r="E153"/>
  <c r="G153" s="1"/>
  <c r="H155"/>
  <c r="J155" s="1"/>
  <c r="G164"/>
  <c r="E159"/>
  <c r="F160"/>
  <c r="H160" s="1"/>
  <c r="H162"/>
  <c r="E163"/>
  <c r="G161"/>
  <c r="J165"/>
  <c r="F167"/>
  <c r="H167" s="1"/>
  <c r="F170"/>
  <c r="E170"/>
  <c r="G170" s="1"/>
  <c r="F166"/>
  <c r="H166" s="1"/>
  <c r="H168"/>
  <c r="J168" s="1"/>
  <c r="F171"/>
  <c r="G172"/>
  <c r="G173"/>
  <c r="H169"/>
  <c r="E174"/>
  <c r="G174" s="1"/>
  <c r="E176"/>
  <c r="G176" s="1"/>
  <c r="F179"/>
  <c r="H179" s="1"/>
  <c r="G180"/>
  <c r="G181"/>
  <c r="I181" s="1"/>
  <c r="H175"/>
  <c r="J175" s="1"/>
  <c r="J177"/>
  <c r="L177" s="1"/>
  <c r="G177"/>
  <c r="I177" s="1"/>
  <c r="E178"/>
  <c r="G178" s="1"/>
  <c r="J182"/>
  <c r="L182" s="1"/>
  <c r="G183"/>
  <c r="E184"/>
  <c r="G184" s="1"/>
  <c r="H186"/>
  <c r="F189"/>
  <c r="H189" s="1"/>
  <c r="G191"/>
  <c r="E192"/>
  <c r="G192" s="1"/>
  <c r="G182"/>
  <c r="I182" s="1"/>
  <c r="J187"/>
  <c r="L187" s="1"/>
  <c r="F185"/>
  <c r="G187"/>
  <c r="I187" s="1"/>
  <c r="E188"/>
  <c r="G188" s="1"/>
  <c r="H190"/>
  <c r="D44" i="30" l="1"/>
  <c r="H116" i="32"/>
  <c r="H126" s="1"/>
  <c r="H133" s="1"/>
  <c r="F52"/>
  <c r="F93" s="1"/>
  <c r="I151" i="30"/>
  <c r="M52" i="32"/>
  <c r="M93" s="1"/>
  <c r="R14" i="33"/>
  <c r="R14" i="37"/>
  <c r="R12" i="33"/>
  <c r="R12" i="37"/>
  <c r="R33" i="33"/>
  <c r="R33" i="37"/>
  <c r="R36" s="1"/>
  <c r="I52" i="32"/>
  <c r="I93" s="1"/>
  <c r="C61" i="12"/>
  <c r="C83" s="1"/>
  <c r="C87" s="1"/>
  <c r="F42" s="1"/>
  <c r="M44" i="30"/>
  <c r="K52" i="32"/>
  <c r="K93" s="1"/>
  <c r="P116"/>
  <c r="P126" s="1"/>
  <c r="P133" s="1"/>
  <c r="H52"/>
  <c r="H93" s="1"/>
  <c r="L151" i="30"/>
  <c r="O52" i="32"/>
  <c r="O93" s="1"/>
  <c r="I44" i="30"/>
  <c r="I153" s="1"/>
  <c r="I163" s="1"/>
  <c r="G52" i="32"/>
  <c r="G93" s="1"/>
  <c r="F44" i="30"/>
  <c r="R116" i="32"/>
  <c r="R126" s="1"/>
  <c r="R133" s="1"/>
  <c r="R34" i="33"/>
  <c r="O44" i="30"/>
  <c r="H151"/>
  <c r="N52" i="32"/>
  <c r="N93" s="1"/>
  <c r="L52"/>
  <c r="L93" s="1"/>
  <c r="L44" i="30"/>
  <c r="L153" s="1"/>
  <c r="L163" s="1"/>
  <c r="Q93" i="35"/>
  <c r="R93"/>
  <c r="I61" i="29"/>
  <c r="K61" s="1"/>
  <c r="J103"/>
  <c r="L103" s="1"/>
  <c r="H78"/>
  <c r="I78" s="1"/>
  <c r="O233" i="1"/>
  <c r="L233" s="1"/>
  <c r="J169" i="29"/>
  <c r="I161"/>
  <c r="L161" s="1"/>
  <c r="J48"/>
  <c r="J186"/>
  <c r="K186" s="1"/>
  <c r="I173"/>
  <c r="G179"/>
  <c r="I179" s="1"/>
  <c r="G157"/>
  <c r="I136"/>
  <c r="H124"/>
  <c r="G116"/>
  <c r="J123"/>
  <c r="L123" s="1"/>
  <c r="H87"/>
  <c r="J87" s="1"/>
  <c r="I53"/>
  <c r="G55"/>
  <c r="I55" s="1"/>
  <c r="D195"/>
  <c r="G43"/>
  <c r="I43" s="1"/>
  <c r="N44" i="30"/>
  <c r="F151"/>
  <c r="J52" i="32"/>
  <c r="J93" s="1"/>
  <c r="G190" i="29"/>
  <c r="J190" s="1"/>
  <c r="L190" s="1"/>
  <c r="L99"/>
  <c r="N99" s="1"/>
  <c r="I99"/>
  <c r="K99" s="1"/>
  <c r="G91"/>
  <c r="I91" s="1"/>
  <c r="I96"/>
  <c r="J64"/>
  <c r="I172"/>
  <c r="L172" s="1"/>
  <c r="N172" s="1"/>
  <c r="G167"/>
  <c r="I167" s="1"/>
  <c r="J147"/>
  <c r="I155"/>
  <c r="K155" s="1"/>
  <c r="H134"/>
  <c r="J134" s="1"/>
  <c r="I121"/>
  <c r="G132"/>
  <c r="H122"/>
  <c r="J122" s="1"/>
  <c r="J83"/>
  <c r="J102"/>
  <c r="L102" s="1"/>
  <c r="N72"/>
  <c r="P72" s="1"/>
  <c r="I52"/>
  <c r="I44"/>
  <c r="I36"/>
  <c r="L36" s="1"/>
  <c r="N36" s="1"/>
  <c r="G50"/>
  <c r="I56"/>
  <c r="K56" s="1"/>
  <c r="I21"/>
  <c r="E151" i="30"/>
  <c r="E153" s="1"/>
  <c r="E163" s="1"/>
  <c r="Q52" i="32"/>
  <c r="R52" s="1"/>
  <c r="G126"/>
  <c r="G133" s="1"/>
  <c r="G62" i="29"/>
  <c r="I62" s="1"/>
  <c r="H62"/>
  <c r="G97"/>
  <c r="I97" s="1"/>
  <c r="H158"/>
  <c r="G95"/>
  <c r="I95" s="1"/>
  <c r="L68"/>
  <c r="M68" s="1"/>
  <c r="O68" s="1"/>
  <c r="J232" i="1"/>
  <c r="I140" i="29"/>
  <c r="I191"/>
  <c r="L191" s="1"/>
  <c r="I183"/>
  <c r="I175"/>
  <c r="K175" s="1"/>
  <c r="I164"/>
  <c r="J139"/>
  <c r="H174"/>
  <c r="J174" s="1"/>
  <c r="G154"/>
  <c r="I154" s="1"/>
  <c r="J148"/>
  <c r="L148" s="1"/>
  <c r="G106"/>
  <c r="H120"/>
  <c r="G108"/>
  <c r="G112"/>
  <c r="I112" s="1"/>
  <c r="L96"/>
  <c r="I82"/>
  <c r="J47"/>
  <c r="L47" s="1"/>
  <c r="G75"/>
  <c r="I75" s="1"/>
  <c r="I63"/>
  <c r="L63" s="1"/>
  <c r="G39"/>
  <c r="J25"/>
  <c r="I69"/>
  <c r="K69" s="1"/>
  <c r="H20"/>
  <c r="J20" s="1"/>
  <c r="N126" i="32"/>
  <c r="N133" s="1"/>
  <c r="L116"/>
  <c r="L126" s="1"/>
  <c r="L133" s="1"/>
  <c r="H109" i="29"/>
  <c r="J109" s="1"/>
  <c r="J91"/>
  <c r="L91" s="1"/>
  <c r="G23"/>
  <c r="I23" s="1"/>
  <c r="G15"/>
  <c r="J95"/>
  <c r="I107"/>
  <c r="L234" i="1"/>
  <c r="O234"/>
  <c r="N233"/>
  <c r="M233" s="1"/>
  <c r="M234" s="1"/>
  <c r="Q126" i="32"/>
  <c r="O151" i="30"/>
  <c r="N151"/>
  <c r="K151"/>
  <c r="G151"/>
  <c r="M151"/>
  <c r="M153" s="1"/>
  <c r="M163" s="1"/>
  <c r="J151"/>
  <c r="J153" s="1"/>
  <c r="J163" s="1"/>
  <c r="D151"/>
  <c r="D153" s="1"/>
  <c r="D163" s="1"/>
  <c r="P151"/>
  <c r="H153"/>
  <c r="H163" s="1"/>
  <c r="K44"/>
  <c r="G44"/>
  <c r="P44"/>
  <c r="H185" i="29"/>
  <c r="G185"/>
  <c r="I168"/>
  <c r="K168" s="1"/>
  <c r="I190"/>
  <c r="J183"/>
  <c r="L183" s="1"/>
  <c r="I174"/>
  <c r="K174" s="1"/>
  <c r="H170"/>
  <c r="J170" s="1"/>
  <c r="G163"/>
  <c r="H163"/>
  <c r="K144"/>
  <c r="M144" s="1"/>
  <c r="J152"/>
  <c r="L152" s="1"/>
  <c r="G133"/>
  <c r="I133" s="1"/>
  <c r="J115"/>
  <c r="I115"/>
  <c r="I79"/>
  <c r="K79" s="1"/>
  <c r="I89"/>
  <c r="K89" s="1"/>
  <c r="K65"/>
  <c r="M65" s="1"/>
  <c r="J45"/>
  <c r="L45" s="1"/>
  <c r="J29"/>
  <c r="L29" s="1"/>
  <c r="K51"/>
  <c r="M51" s="1"/>
  <c r="I180"/>
  <c r="J180"/>
  <c r="K172"/>
  <c r="H178"/>
  <c r="J178" s="1"/>
  <c r="J167"/>
  <c r="L167" s="1"/>
  <c r="L165"/>
  <c r="K165"/>
  <c r="M165" s="1"/>
  <c r="I157"/>
  <c r="J157"/>
  <c r="H150"/>
  <c r="J150" s="1"/>
  <c r="G150"/>
  <c r="I143"/>
  <c r="J143"/>
  <c r="K136"/>
  <c r="M136" s="1"/>
  <c r="J144"/>
  <c r="L144" s="1"/>
  <c r="K140"/>
  <c r="M140" s="1"/>
  <c r="H145"/>
  <c r="J145" s="1"/>
  <c r="H129"/>
  <c r="G129"/>
  <c r="I129" s="1"/>
  <c r="G138"/>
  <c r="I138" s="1"/>
  <c r="H176"/>
  <c r="J176" s="1"/>
  <c r="J140"/>
  <c r="L140" s="1"/>
  <c r="I151"/>
  <c r="K151" s="1"/>
  <c r="I106"/>
  <c r="J106"/>
  <c r="L106" s="1"/>
  <c r="H132"/>
  <c r="J132" s="1"/>
  <c r="G125"/>
  <c r="I125" s="1"/>
  <c r="H108"/>
  <c r="J108" s="1"/>
  <c r="J121"/>
  <c r="L121" s="1"/>
  <c r="K102"/>
  <c r="M102" s="1"/>
  <c r="H116"/>
  <c r="J116" s="1"/>
  <c r="L87"/>
  <c r="N87" s="1"/>
  <c r="H100"/>
  <c r="J100" s="1"/>
  <c r="I87"/>
  <c r="K87" s="1"/>
  <c r="H101"/>
  <c r="J101" s="1"/>
  <c r="K88"/>
  <c r="M88" s="1"/>
  <c r="L69"/>
  <c r="N69" s="1"/>
  <c r="H38"/>
  <c r="J38" s="1"/>
  <c r="H13"/>
  <c r="H90"/>
  <c r="J90" s="1"/>
  <c r="J78"/>
  <c r="J59"/>
  <c r="L59" s="1"/>
  <c r="K36"/>
  <c r="G13"/>
  <c r="I85"/>
  <c r="K85" s="1"/>
  <c r="H75"/>
  <c r="H71"/>
  <c r="J71" s="1"/>
  <c r="K63"/>
  <c r="I20"/>
  <c r="K20" s="1"/>
  <c r="I48"/>
  <c r="K48" s="1"/>
  <c r="I49"/>
  <c r="K49" s="1"/>
  <c r="L70"/>
  <c r="N70" s="1"/>
  <c r="L18"/>
  <c r="N18" s="1"/>
  <c r="M28"/>
  <c r="O28" s="1"/>
  <c r="N68"/>
  <c r="J60"/>
  <c r="L60" s="1"/>
  <c r="L28"/>
  <c r="N28" s="1"/>
  <c r="J19"/>
  <c r="L19" s="1"/>
  <c r="I26"/>
  <c r="K26" s="1"/>
  <c r="H184"/>
  <c r="J184" s="1"/>
  <c r="I145"/>
  <c r="K145" s="1"/>
  <c r="L151"/>
  <c r="N151" s="1"/>
  <c r="K191"/>
  <c r="K167"/>
  <c r="M167" s="1"/>
  <c r="J162"/>
  <c r="I162"/>
  <c r="K162" s="1"/>
  <c r="K152"/>
  <c r="M152" s="1"/>
  <c r="I137"/>
  <c r="K137" s="1"/>
  <c r="H153"/>
  <c r="J153" s="1"/>
  <c r="J164"/>
  <c r="H141"/>
  <c r="J141" s="1"/>
  <c r="I108"/>
  <c r="K108" s="1"/>
  <c r="N102"/>
  <c r="P102" s="1"/>
  <c r="L49"/>
  <c r="N49" s="1"/>
  <c r="H93"/>
  <c r="J93" s="1"/>
  <c r="H80"/>
  <c r="J80" s="1"/>
  <c r="J73"/>
  <c r="L73" s="1"/>
  <c r="I71"/>
  <c r="K71" s="1"/>
  <c r="J53"/>
  <c r="L53" s="1"/>
  <c r="J37"/>
  <c r="L37" s="1"/>
  <c r="M18"/>
  <c r="O18" s="1"/>
  <c r="M69"/>
  <c r="O69" s="1"/>
  <c r="L20"/>
  <c r="N20" s="1"/>
  <c r="J189"/>
  <c r="L189" s="1"/>
  <c r="H192"/>
  <c r="J192" s="1"/>
  <c r="H188"/>
  <c r="J188" s="1"/>
  <c r="K187"/>
  <c r="M187" s="1"/>
  <c r="K182"/>
  <c r="M182" s="1"/>
  <c r="L186"/>
  <c r="G189"/>
  <c r="I189" s="1"/>
  <c r="K177"/>
  <c r="M177" s="1"/>
  <c r="L175"/>
  <c r="N175" s="1"/>
  <c r="J179"/>
  <c r="L179" s="1"/>
  <c r="J181"/>
  <c r="L181" s="1"/>
  <c r="H171"/>
  <c r="G171"/>
  <c r="J173"/>
  <c r="L173" s="1"/>
  <c r="G166"/>
  <c r="I166" s="1"/>
  <c r="K161"/>
  <c r="I169"/>
  <c r="K169" s="1"/>
  <c r="G159"/>
  <c r="H159"/>
  <c r="L155"/>
  <c r="N155" s="1"/>
  <c r="H142"/>
  <c r="G142"/>
  <c r="G160"/>
  <c r="I160" s="1"/>
  <c r="J136"/>
  <c r="L136" s="1"/>
  <c r="J154"/>
  <c r="L154" s="1"/>
  <c r="I147"/>
  <c r="K147" s="1"/>
  <c r="I139"/>
  <c r="K139" s="1"/>
  <c r="H137"/>
  <c r="J137" s="1"/>
  <c r="H149"/>
  <c r="J149" s="1"/>
  <c r="J131"/>
  <c r="I131"/>
  <c r="I126"/>
  <c r="K126" s="1"/>
  <c r="J135"/>
  <c r="L135" s="1"/>
  <c r="G124"/>
  <c r="I124" s="1"/>
  <c r="G120"/>
  <c r="I120" s="1"/>
  <c r="G104"/>
  <c r="I104" s="1"/>
  <c r="J130"/>
  <c r="L130" s="1"/>
  <c r="J119"/>
  <c r="L119" s="1"/>
  <c r="H112"/>
  <c r="H94"/>
  <c r="J94" s="1"/>
  <c r="G117"/>
  <c r="I117" s="1"/>
  <c r="H98"/>
  <c r="J98" s="1"/>
  <c r="L85"/>
  <c r="N85" s="1"/>
  <c r="H67"/>
  <c r="G67"/>
  <c r="I67" s="1"/>
  <c r="H46"/>
  <c r="J46" s="1"/>
  <c r="G105"/>
  <c r="I105" s="1"/>
  <c r="H86"/>
  <c r="J86" s="1"/>
  <c r="H79"/>
  <c r="J79" s="1"/>
  <c r="L56"/>
  <c r="N56" s="1"/>
  <c r="J51"/>
  <c r="L51" s="1"/>
  <c r="J43"/>
  <c r="L43" s="1"/>
  <c r="I81"/>
  <c r="K81" s="1"/>
  <c r="L61"/>
  <c r="N61" s="1"/>
  <c r="H50"/>
  <c r="J50" s="1"/>
  <c r="H42"/>
  <c r="J42" s="1"/>
  <c r="H34"/>
  <c r="J34" s="1"/>
  <c r="I32"/>
  <c r="K32" s="1"/>
  <c r="I41"/>
  <c r="K41" s="1"/>
  <c r="G35"/>
  <c r="I35" s="1"/>
  <c r="J21"/>
  <c r="L21" s="1"/>
  <c r="H66"/>
  <c r="J66" s="1"/>
  <c r="J52"/>
  <c r="L52" s="1"/>
  <c r="J27"/>
  <c r="L27" s="1"/>
  <c r="I17"/>
  <c r="K17" s="1"/>
  <c r="L22"/>
  <c r="N22" s="1"/>
  <c r="J138"/>
  <c r="L138" s="1"/>
  <c r="L134"/>
  <c r="N134" s="1"/>
  <c r="I122"/>
  <c r="K122" s="1"/>
  <c r="G146"/>
  <c r="I146" s="1"/>
  <c r="G128"/>
  <c r="I128" s="1"/>
  <c r="J156"/>
  <c r="L156" s="1"/>
  <c r="I134"/>
  <c r="K134" s="1"/>
  <c r="K123"/>
  <c r="M123" s="1"/>
  <c r="L114"/>
  <c r="N114" s="1"/>
  <c r="J124"/>
  <c r="L124" s="1"/>
  <c r="I114"/>
  <c r="K114" s="1"/>
  <c r="H113"/>
  <c r="G113"/>
  <c r="I113" s="1"/>
  <c r="I101"/>
  <c r="K101" s="1"/>
  <c r="J127"/>
  <c r="L127" s="1"/>
  <c r="H118"/>
  <c r="J118" s="1"/>
  <c r="L110"/>
  <c r="N110" s="1"/>
  <c r="I94"/>
  <c r="K94" s="1"/>
  <c r="I83"/>
  <c r="K83" s="1"/>
  <c r="I111"/>
  <c r="K111" s="1"/>
  <c r="K92"/>
  <c r="M92" s="1"/>
  <c r="K84"/>
  <c r="M84" s="1"/>
  <c r="L41"/>
  <c r="N41" s="1"/>
  <c r="G30"/>
  <c r="I30" s="1"/>
  <c r="K96"/>
  <c r="M96" s="1"/>
  <c r="J82"/>
  <c r="L82" s="1"/>
  <c r="J77"/>
  <c r="L77" s="1"/>
  <c r="G54"/>
  <c r="H54"/>
  <c r="L48"/>
  <c r="N48" s="1"/>
  <c r="L95"/>
  <c r="J76"/>
  <c r="L76" s="1"/>
  <c r="I40"/>
  <c r="K40" s="1"/>
  <c r="I66"/>
  <c r="K66" s="1"/>
  <c r="K47"/>
  <c r="M47" s="1"/>
  <c r="K31"/>
  <c r="M31" s="1"/>
  <c r="H74"/>
  <c r="J74" s="1"/>
  <c r="I33"/>
  <c r="K33" s="1"/>
  <c r="H16"/>
  <c r="J16" s="1"/>
  <c r="M22"/>
  <c r="O22" s="1"/>
  <c r="M14"/>
  <c r="O14" s="1"/>
  <c r="L14"/>
  <c r="N14" s="1"/>
  <c r="J44"/>
  <c r="L44" s="1"/>
  <c r="I25"/>
  <c r="K25" s="1"/>
  <c r="G59"/>
  <c r="I59" s="1"/>
  <c r="O153" i="30" l="1"/>
  <c r="O163" s="1"/>
  <c r="R36" i="33"/>
  <c r="Q93" i="32"/>
  <c r="R93" s="1"/>
  <c r="R21" i="33"/>
  <c r="R21" i="37"/>
  <c r="F153" i="30"/>
  <c r="F163" s="1"/>
  <c r="N153"/>
  <c r="N163" s="1"/>
  <c r="G153"/>
  <c r="G163" s="1"/>
  <c r="Q68" i="29"/>
  <c r="M161"/>
  <c r="I109"/>
  <c r="K109" s="1"/>
  <c r="K95"/>
  <c r="K103"/>
  <c r="M103" s="1"/>
  <c r="J55"/>
  <c r="M172"/>
  <c r="P172" s="1"/>
  <c r="N95"/>
  <c r="I54"/>
  <c r="I74"/>
  <c r="K74" s="1"/>
  <c r="J112"/>
  <c r="K112" s="1"/>
  <c r="J30"/>
  <c r="L30" s="1"/>
  <c r="L164"/>
  <c r="K181"/>
  <c r="M181" s="1"/>
  <c r="L78"/>
  <c r="L143"/>
  <c r="L157"/>
  <c r="L180"/>
  <c r="K43"/>
  <c r="M43" s="1"/>
  <c r="K115"/>
  <c r="K121"/>
  <c r="M121" s="1"/>
  <c r="J163"/>
  <c r="I185"/>
  <c r="J158"/>
  <c r="L158" s="1"/>
  <c r="I158"/>
  <c r="K107"/>
  <c r="M107" s="1"/>
  <c r="L107"/>
  <c r="L32"/>
  <c r="N32" s="1"/>
  <c r="P32" s="1"/>
  <c r="R32" s="1"/>
  <c r="N96"/>
  <c r="P96" s="1"/>
  <c r="J104"/>
  <c r="L104" s="1"/>
  <c r="L126"/>
  <c r="N126" s="1"/>
  <c r="J142"/>
  <c r="I159"/>
  <c r="N186"/>
  <c r="N177"/>
  <c r="P177" s="1"/>
  <c r="M191"/>
  <c r="O191" s="1"/>
  <c r="Q191" s="1"/>
  <c r="J75"/>
  <c r="K75" s="1"/>
  <c r="M36"/>
  <c r="P36" s="1"/>
  <c r="R36" s="1"/>
  <c r="I46"/>
  <c r="K46" s="1"/>
  <c r="K148"/>
  <c r="M148" s="1"/>
  <c r="L26"/>
  <c r="N26" s="1"/>
  <c r="I149"/>
  <c r="K149" s="1"/>
  <c r="K190"/>
  <c r="N190" s="1"/>
  <c r="L109"/>
  <c r="N109" s="1"/>
  <c r="I39"/>
  <c r="J39"/>
  <c r="L39" s="1"/>
  <c r="K91"/>
  <c r="M91" s="1"/>
  <c r="J97"/>
  <c r="L97" s="1"/>
  <c r="M63"/>
  <c r="L83"/>
  <c r="N83" s="1"/>
  <c r="J117"/>
  <c r="L117" s="1"/>
  <c r="K131"/>
  <c r="L147"/>
  <c r="N147" s="1"/>
  <c r="I171"/>
  <c r="I118"/>
  <c r="K118" s="1"/>
  <c r="I141"/>
  <c r="K141" s="1"/>
  <c r="P68"/>
  <c r="K52"/>
  <c r="M52" s="1"/>
  <c r="O52" s="1"/>
  <c r="Q52" s="1"/>
  <c r="M175"/>
  <c r="O175" s="1"/>
  <c r="N187"/>
  <c r="P187" s="1"/>
  <c r="L89"/>
  <c r="N89" s="1"/>
  <c r="I90"/>
  <c r="K90" s="1"/>
  <c r="I15"/>
  <c r="K15" s="1"/>
  <c r="M15" s="1"/>
  <c r="J15"/>
  <c r="L15" s="1"/>
  <c r="J62"/>
  <c r="L62" s="1"/>
  <c r="O72"/>
  <c r="Q72" s="1"/>
  <c r="L64"/>
  <c r="N64" s="1"/>
  <c r="K64"/>
  <c r="M99"/>
  <c r="O99" s="1"/>
  <c r="N234" i="1"/>
  <c r="N103" i="29"/>
  <c r="J23"/>
  <c r="L23" s="1"/>
  <c r="Q133" i="32"/>
  <c r="K153" i="30"/>
  <c r="K163" s="1"/>
  <c r="P153"/>
  <c r="P163" s="1"/>
  <c r="N173" i="29"/>
  <c r="P173" s="1"/>
  <c r="M20"/>
  <c r="O20" s="1"/>
  <c r="I13"/>
  <c r="L40"/>
  <c r="N40" s="1"/>
  <c r="N179"/>
  <c r="P179" s="1"/>
  <c r="P20"/>
  <c r="R20" s="1"/>
  <c r="K164"/>
  <c r="N191"/>
  <c r="P191" s="1"/>
  <c r="K154"/>
  <c r="M154" s="1"/>
  <c r="I178"/>
  <c r="K178" s="1"/>
  <c r="I38"/>
  <c r="K38" s="1"/>
  <c r="O96"/>
  <c r="Q96" s="1"/>
  <c r="M114"/>
  <c r="O114" s="1"/>
  <c r="K21"/>
  <c r="M21" s="1"/>
  <c r="J67"/>
  <c r="L67" s="1"/>
  <c r="L137"/>
  <c r="N137" s="1"/>
  <c r="P175"/>
  <c r="R175" s="1"/>
  <c r="N88"/>
  <c r="P88" s="1"/>
  <c r="N123"/>
  <c r="P123" s="1"/>
  <c r="P28"/>
  <c r="R28" s="1"/>
  <c r="L71"/>
  <c r="N71" s="1"/>
  <c r="N59"/>
  <c r="P59" s="1"/>
  <c r="N140"/>
  <c r="P140" s="1"/>
  <c r="K45"/>
  <c r="M45" s="1"/>
  <c r="J133"/>
  <c r="L133" s="1"/>
  <c r="N152"/>
  <c r="P152" s="1"/>
  <c r="L174"/>
  <c r="N174" s="1"/>
  <c r="K179"/>
  <c r="M179" s="1"/>
  <c r="I184"/>
  <c r="K184" s="1"/>
  <c r="O15"/>
  <c r="Q15" s="1"/>
  <c r="K27"/>
  <c r="M27" s="1"/>
  <c r="L74"/>
  <c r="N74" s="1"/>
  <c r="J54"/>
  <c r="L54" s="1"/>
  <c r="N47"/>
  <c r="P47" s="1"/>
  <c r="K30"/>
  <c r="M30" s="1"/>
  <c r="N92"/>
  <c r="P92" s="1"/>
  <c r="J125"/>
  <c r="L125" s="1"/>
  <c r="J146"/>
  <c r="L146" s="1"/>
  <c r="N52"/>
  <c r="P52" s="1"/>
  <c r="M41"/>
  <c r="O41" s="1"/>
  <c r="N43"/>
  <c r="P43" s="1"/>
  <c r="L79"/>
  <c r="N79" s="1"/>
  <c r="L33"/>
  <c r="N33" s="1"/>
  <c r="K76"/>
  <c r="M76" s="1"/>
  <c r="N84"/>
  <c r="P84" s="1"/>
  <c r="I98"/>
  <c r="K98" s="1"/>
  <c r="P103"/>
  <c r="K124"/>
  <c r="M124" s="1"/>
  <c r="M126"/>
  <c r="O126" s="1"/>
  <c r="L131"/>
  <c r="N131" s="1"/>
  <c r="J171"/>
  <c r="L171" s="1"/>
  <c r="O177"/>
  <c r="Q177" s="1"/>
  <c r="O187"/>
  <c r="Q187" s="1"/>
  <c r="M56"/>
  <c r="O56" s="1"/>
  <c r="M95"/>
  <c r="O95" s="1"/>
  <c r="M155"/>
  <c r="O155" s="1"/>
  <c r="L168"/>
  <c r="N168" s="1"/>
  <c r="I192"/>
  <c r="K192" s="1"/>
  <c r="L25"/>
  <c r="N25" s="1"/>
  <c r="M49"/>
  <c r="O49" s="1"/>
  <c r="I42"/>
  <c r="K42" s="1"/>
  <c r="L75"/>
  <c r="O36"/>
  <c r="N31"/>
  <c r="P31" s="1"/>
  <c r="J13"/>
  <c r="P69"/>
  <c r="R69" s="1"/>
  <c r="K77"/>
  <c r="M77" s="1"/>
  <c r="I86"/>
  <c r="K86" s="1"/>
  <c r="J120"/>
  <c r="L120" s="1"/>
  <c r="K119"/>
  <c r="M119" s="1"/>
  <c r="J129"/>
  <c r="L129" s="1"/>
  <c r="K156"/>
  <c r="M156" s="1"/>
  <c r="K143"/>
  <c r="M143" s="1"/>
  <c r="K157"/>
  <c r="M157" s="1"/>
  <c r="N165"/>
  <c r="P165" s="1"/>
  <c r="N15"/>
  <c r="P15" s="1"/>
  <c r="K60"/>
  <c r="M60" s="1"/>
  <c r="M110"/>
  <c r="O110" s="1"/>
  <c r="J128"/>
  <c r="L128" s="1"/>
  <c r="K183"/>
  <c r="M183" s="1"/>
  <c r="L139"/>
  <c r="N139" s="1"/>
  <c r="I170"/>
  <c r="K170" s="1"/>
  <c r="M111"/>
  <c r="O111" s="1"/>
  <c r="I16"/>
  <c r="K16" s="1"/>
  <c r="L98"/>
  <c r="N98" s="1"/>
  <c r="K104"/>
  <c r="M104" s="1"/>
  <c r="K53"/>
  <c r="M53" s="1"/>
  <c r="L111"/>
  <c r="N111" s="1"/>
  <c r="N19"/>
  <c r="P19" s="1"/>
  <c r="O88"/>
  <c r="Q88" s="1"/>
  <c r="K125"/>
  <c r="M125" s="1"/>
  <c r="K127"/>
  <c r="M127" s="1"/>
  <c r="K29"/>
  <c r="M29" s="1"/>
  <c r="M79"/>
  <c r="O79" s="1"/>
  <c r="M174"/>
  <c r="O174" s="1"/>
  <c r="M186"/>
  <c r="O186" s="1"/>
  <c r="N76"/>
  <c r="P76" s="1"/>
  <c r="M74"/>
  <c r="O74" s="1"/>
  <c r="O123"/>
  <c r="Q123" s="1"/>
  <c r="L17"/>
  <c r="N17" s="1"/>
  <c r="J35"/>
  <c r="L35" s="1"/>
  <c r="K117"/>
  <c r="M117" s="1"/>
  <c r="K120"/>
  <c r="M120" s="1"/>
  <c r="M131"/>
  <c r="O131" s="1"/>
  <c r="N136"/>
  <c r="P136" s="1"/>
  <c r="K173"/>
  <c r="M173" s="1"/>
  <c r="L184"/>
  <c r="N184" s="1"/>
  <c r="P18"/>
  <c r="R18" s="1"/>
  <c r="I34"/>
  <c r="K34" s="1"/>
  <c r="L101"/>
  <c r="N101" s="1"/>
  <c r="K106"/>
  <c r="M106" s="1"/>
  <c r="K129"/>
  <c r="M129" s="1"/>
  <c r="N143"/>
  <c r="P143" s="1"/>
  <c r="O165"/>
  <c r="Q165" s="1"/>
  <c r="R187"/>
  <c r="T187" s="1"/>
  <c r="K73"/>
  <c r="M73" s="1"/>
  <c r="I93"/>
  <c r="K93" s="1"/>
  <c r="I163"/>
  <c r="K163" s="1"/>
  <c r="K59"/>
  <c r="M59" s="1"/>
  <c r="P14"/>
  <c r="R14" s="1"/>
  <c r="K54"/>
  <c r="M54" s="1"/>
  <c r="M70"/>
  <c r="O70" s="1"/>
  <c r="P41"/>
  <c r="R41" s="1"/>
  <c r="K82"/>
  <c r="M82" s="1"/>
  <c r="L118"/>
  <c r="N118" s="1"/>
  <c r="J113"/>
  <c r="L113" s="1"/>
  <c r="I100"/>
  <c r="K100" s="1"/>
  <c r="M134"/>
  <c r="O134" s="1"/>
  <c r="P22"/>
  <c r="R22" s="1"/>
  <c r="L66"/>
  <c r="N66" s="1"/>
  <c r="M32"/>
  <c r="O32" s="1"/>
  <c r="M81"/>
  <c r="O81" s="1"/>
  <c r="N51"/>
  <c r="P51" s="1"/>
  <c r="L46"/>
  <c r="N46" s="1"/>
  <c r="P85"/>
  <c r="R85" s="1"/>
  <c r="L94"/>
  <c r="N94" s="1"/>
  <c r="L112"/>
  <c r="I116"/>
  <c r="K116" s="1"/>
  <c r="J105"/>
  <c r="L105" s="1"/>
  <c r="K135"/>
  <c r="M135" s="1"/>
  <c r="L149"/>
  <c r="N149" s="1"/>
  <c r="M147"/>
  <c r="O147" s="1"/>
  <c r="I142"/>
  <c r="K142" s="1"/>
  <c r="J159"/>
  <c r="L159" s="1"/>
  <c r="N181"/>
  <c r="P181" s="1"/>
  <c r="K189"/>
  <c r="M189" s="1"/>
  <c r="L188"/>
  <c r="N188" s="1"/>
  <c r="I188"/>
  <c r="K188" s="1"/>
  <c r="K19"/>
  <c r="M19" s="1"/>
  <c r="K37"/>
  <c r="M37" s="1"/>
  <c r="L81"/>
  <c r="N81" s="1"/>
  <c r="L122"/>
  <c r="N122" s="1"/>
  <c r="L141"/>
  <c r="N141" s="1"/>
  <c r="N161"/>
  <c r="P161" s="1"/>
  <c r="L162"/>
  <c r="N162" s="1"/>
  <c r="N182"/>
  <c r="P182" s="1"/>
  <c r="I176"/>
  <c r="K176" s="1"/>
  <c r="M26"/>
  <c r="O26" s="1"/>
  <c r="R68"/>
  <c r="T68" s="1"/>
  <c r="M48"/>
  <c r="O48" s="1"/>
  <c r="I50"/>
  <c r="K50" s="1"/>
  <c r="M85"/>
  <c r="O85" s="1"/>
  <c r="K44"/>
  <c r="M44" s="1"/>
  <c r="N63"/>
  <c r="P63" s="1"/>
  <c r="K78"/>
  <c r="M78" s="1"/>
  <c r="M87"/>
  <c r="O87" s="1"/>
  <c r="O102"/>
  <c r="Q102" s="1"/>
  <c r="L108"/>
  <c r="N108" s="1"/>
  <c r="M151"/>
  <c r="O151" s="1"/>
  <c r="K138"/>
  <c r="M138" s="1"/>
  <c r="L145"/>
  <c r="N145" s="1"/>
  <c r="N144"/>
  <c r="P144" s="1"/>
  <c r="I150"/>
  <c r="K150" s="1"/>
  <c r="J160"/>
  <c r="L160" s="1"/>
  <c r="N167"/>
  <c r="P167" s="1"/>
  <c r="K180"/>
  <c r="M180" s="1"/>
  <c r="M61"/>
  <c r="O61" s="1"/>
  <c r="M89"/>
  <c r="O89" s="1"/>
  <c r="N65"/>
  <c r="P65" s="1"/>
  <c r="I80"/>
  <c r="K80" s="1"/>
  <c r="L115"/>
  <c r="N115" s="1"/>
  <c r="I132"/>
  <c r="K132" s="1"/>
  <c r="K130"/>
  <c r="M130" s="1"/>
  <c r="J166"/>
  <c r="L166" s="1"/>
  <c r="M190"/>
  <c r="I153"/>
  <c r="K153" s="1"/>
  <c r="L169"/>
  <c r="N169" s="1"/>
  <c r="J185"/>
  <c r="L185" s="1"/>
  <c r="S72" l="1"/>
  <c r="U72" s="1"/>
  <c r="R72"/>
  <c r="T72" s="1"/>
  <c r="V72" s="1"/>
  <c r="X72" s="1"/>
  <c r="N37"/>
  <c r="P37" s="1"/>
  <c r="L90"/>
  <c r="N90" s="1"/>
  <c r="M83"/>
  <c r="O83" s="1"/>
  <c r="O144"/>
  <c r="Q144" s="1"/>
  <c r="S144" s="1"/>
  <c r="U144" s="1"/>
  <c r="N75"/>
  <c r="N148"/>
  <c r="P148" s="1"/>
  <c r="Q69"/>
  <c r="S69" s="1"/>
  <c r="P155"/>
  <c r="R155" s="1"/>
  <c r="L42"/>
  <c r="N42" s="1"/>
  <c r="O172"/>
  <c r="Q172" s="1"/>
  <c r="O140"/>
  <c r="Q140" s="1"/>
  <c r="M164"/>
  <c r="N127"/>
  <c r="P127" s="1"/>
  <c r="L86"/>
  <c r="N86" s="1"/>
  <c r="N62"/>
  <c r="P62" s="1"/>
  <c r="K97"/>
  <c r="M97" s="1"/>
  <c r="N107"/>
  <c r="N91"/>
  <c r="P91" s="1"/>
  <c r="L55"/>
  <c r="N55" s="1"/>
  <c r="K55"/>
  <c r="K62"/>
  <c r="M62" s="1"/>
  <c r="Q22"/>
  <c r="S22" s="1"/>
  <c r="Q36"/>
  <c r="T36" s="1"/>
  <c r="V36" s="1"/>
  <c r="M141"/>
  <c r="O141" s="1"/>
  <c r="N183"/>
  <c r="P183" s="1"/>
  <c r="N112"/>
  <c r="O92"/>
  <c r="Q92" s="1"/>
  <c r="O43"/>
  <c r="Q43" s="1"/>
  <c r="P56"/>
  <c r="R56" s="1"/>
  <c r="O51"/>
  <c r="Q51" s="1"/>
  <c r="M139"/>
  <c r="O139" s="1"/>
  <c r="N44"/>
  <c r="P44" s="1"/>
  <c r="P40"/>
  <c r="R40" s="1"/>
  <c r="M64"/>
  <c r="O64" s="1"/>
  <c r="N97"/>
  <c r="P97" s="1"/>
  <c r="O103"/>
  <c r="R103" s="1"/>
  <c r="K23"/>
  <c r="M23" s="1"/>
  <c r="O190"/>
  <c r="N121"/>
  <c r="P121" s="1"/>
  <c r="L153"/>
  <c r="N153" s="1"/>
  <c r="L163"/>
  <c r="N163" s="1"/>
  <c r="L178"/>
  <c r="N178" s="1"/>
  <c r="P126"/>
  <c r="R126" s="1"/>
  <c r="Q155"/>
  <c r="S155" s="1"/>
  <c r="K113"/>
  <c r="M113" s="1"/>
  <c r="K133"/>
  <c r="M133" s="1"/>
  <c r="P151"/>
  <c r="R151" s="1"/>
  <c r="M169"/>
  <c r="O169" s="1"/>
  <c r="N27"/>
  <c r="P27" s="1"/>
  <c r="N78"/>
  <c r="P78" s="1"/>
  <c r="M40"/>
  <c r="O40" s="1"/>
  <c r="M137"/>
  <c r="O137" s="1"/>
  <c r="P64"/>
  <c r="R64" s="1"/>
  <c r="O91"/>
  <c r="Q91" s="1"/>
  <c r="K39"/>
  <c r="K158"/>
  <c r="M158" s="1"/>
  <c r="P99"/>
  <c r="R99" s="1"/>
  <c r="M109"/>
  <c r="P109" s="1"/>
  <c r="R109" s="1"/>
  <c r="O143"/>
  <c r="Q143" s="1"/>
  <c r="P49"/>
  <c r="R49" s="1"/>
  <c r="R183"/>
  <c r="T183" s="1"/>
  <c r="P81"/>
  <c r="R81" s="1"/>
  <c r="O19"/>
  <c r="Q19" s="1"/>
  <c r="L50"/>
  <c r="N50" s="1"/>
  <c r="T22"/>
  <c r="V22" s="1"/>
  <c r="N113"/>
  <c r="P113" s="1"/>
  <c r="M66"/>
  <c r="O66" s="1"/>
  <c r="O59"/>
  <c r="Q59" s="1"/>
  <c r="N45"/>
  <c r="P45" s="1"/>
  <c r="M118"/>
  <c r="O118" s="1"/>
  <c r="O182"/>
  <c r="Q182" s="1"/>
  <c r="K105"/>
  <c r="M105" s="1"/>
  <c r="N138"/>
  <c r="P138" s="1"/>
  <c r="O121"/>
  <c r="Q121" s="1"/>
  <c r="O167"/>
  <c r="Q167" s="1"/>
  <c r="N53"/>
  <c r="P53" s="1"/>
  <c r="K35"/>
  <c r="M35" s="1"/>
  <c r="P139"/>
  <c r="R139" s="1"/>
  <c r="N180"/>
  <c r="P180" s="1"/>
  <c r="N120"/>
  <c r="P120" s="1"/>
  <c r="T69"/>
  <c r="V69" s="1"/>
  <c r="S36"/>
  <c r="N189"/>
  <c r="P189" s="1"/>
  <c r="O161"/>
  <c r="Q161" s="1"/>
  <c r="P131"/>
  <c r="R131" s="1"/>
  <c r="M98"/>
  <c r="O98" s="1"/>
  <c r="P79"/>
  <c r="R79" s="1"/>
  <c r="Q41"/>
  <c r="S41" s="1"/>
  <c r="K146"/>
  <c r="M146" s="1"/>
  <c r="P110"/>
  <c r="R110" s="1"/>
  <c r="P74"/>
  <c r="R74" s="1"/>
  <c r="M184"/>
  <c r="O184" s="1"/>
  <c r="P26"/>
  <c r="R26" s="1"/>
  <c r="R140"/>
  <c r="T140" s="1"/>
  <c r="O152"/>
  <c r="Q152" s="1"/>
  <c r="M71"/>
  <c r="O71" s="1"/>
  <c r="K128"/>
  <c r="M128" s="1"/>
  <c r="P48"/>
  <c r="R48" s="1"/>
  <c r="M168"/>
  <c r="O168" s="1"/>
  <c r="N29"/>
  <c r="P29" s="1"/>
  <c r="O63"/>
  <c r="Q63" s="1"/>
  <c r="N164"/>
  <c r="P164" s="1"/>
  <c r="L142"/>
  <c r="N142" s="1"/>
  <c r="O109"/>
  <c r="L150"/>
  <c r="N150" s="1"/>
  <c r="L93"/>
  <c r="N93" s="1"/>
  <c r="N154"/>
  <c r="P154" s="1"/>
  <c r="P61"/>
  <c r="R61" s="1"/>
  <c r="N82"/>
  <c r="P82" s="1"/>
  <c r="Q26"/>
  <c r="S26" s="1"/>
  <c r="O77"/>
  <c r="Q77" s="1"/>
  <c r="P168"/>
  <c r="R168" s="1"/>
  <c r="U69"/>
  <c r="W69" s="1"/>
  <c r="S140"/>
  <c r="U140" s="1"/>
  <c r="Q14"/>
  <c r="S14" s="1"/>
  <c r="K13"/>
  <c r="Q61"/>
  <c r="S61" s="1"/>
  <c r="M150"/>
  <c r="O150" s="1"/>
  <c r="Q151"/>
  <c r="S151" s="1"/>
  <c r="O44"/>
  <c r="Q44" s="1"/>
  <c r="M145"/>
  <c r="O145" s="1"/>
  <c r="P141"/>
  <c r="R141" s="1"/>
  <c r="L80"/>
  <c r="N80" s="1"/>
  <c r="M188"/>
  <c r="O188" s="1"/>
  <c r="K166"/>
  <c r="M166" s="1"/>
  <c r="Q32"/>
  <c r="S32" s="1"/>
  <c r="M122"/>
  <c r="O122" s="1"/>
  <c r="P118"/>
  <c r="R118" s="1"/>
  <c r="O31"/>
  <c r="Q31" s="1"/>
  <c r="M163"/>
  <c r="O163" s="1"/>
  <c r="N73"/>
  <c r="P73" s="1"/>
  <c r="K171"/>
  <c r="M171" s="1"/>
  <c r="O120"/>
  <c r="Q120" s="1"/>
  <c r="N35"/>
  <c r="P35" s="1"/>
  <c r="S123"/>
  <c r="U123" s="1"/>
  <c r="N77"/>
  <c r="P77" s="1"/>
  <c r="P190"/>
  <c r="R190" s="1"/>
  <c r="O136"/>
  <c r="Q136" s="1"/>
  <c r="P111"/>
  <c r="R111" s="1"/>
  <c r="P186"/>
  <c r="R186" s="1"/>
  <c r="P98"/>
  <c r="R98" s="1"/>
  <c r="P134"/>
  <c r="R134" s="1"/>
  <c r="L16"/>
  <c r="N16" s="1"/>
  <c r="O183"/>
  <c r="Q183" s="1"/>
  <c r="Q110"/>
  <c r="S110" s="1"/>
  <c r="O65"/>
  <c r="Q65" s="1"/>
  <c r="R165"/>
  <c r="T165" s="1"/>
  <c r="N129"/>
  <c r="P129" s="1"/>
  <c r="M86"/>
  <c r="O86" s="1"/>
  <c r="L13"/>
  <c r="N60"/>
  <c r="P60" s="1"/>
  <c r="O181"/>
  <c r="Q181" s="1"/>
  <c r="M108"/>
  <c r="O108" s="1"/>
  <c r="M75"/>
  <c r="O75" s="1"/>
  <c r="S187"/>
  <c r="U187" s="1"/>
  <c r="Q126"/>
  <c r="S126" s="1"/>
  <c r="R43"/>
  <c r="T43" s="1"/>
  <c r="N125"/>
  <c r="P125" s="1"/>
  <c r="R92"/>
  <c r="T92" s="1"/>
  <c r="N54"/>
  <c r="P54" s="1"/>
  <c r="O27"/>
  <c r="Q27" s="1"/>
  <c r="O179"/>
  <c r="Q179" s="1"/>
  <c r="N133"/>
  <c r="P133" s="1"/>
  <c r="P87"/>
  <c r="R87" s="1"/>
  <c r="R123"/>
  <c r="T123" s="1"/>
  <c r="L192"/>
  <c r="N192" s="1"/>
  <c r="N135"/>
  <c r="P135" s="1"/>
  <c r="S68"/>
  <c r="U68" s="1"/>
  <c r="O47"/>
  <c r="Q47" s="1"/>
  <c r="M149"/>
  <c r="O149" s="1"/>
  <c r="M178"/>
  <c r="O178" s="1"/>
  <c r="N106"/>
  <c r="P106" s="1"/>
  <c r="R191"/>
  <c r="T191" s="1"/>
  <c r="R102"/>
  <c r="T102" s="1"/>
  <c r="N21"/>
  <c r="P21" s="1"/>
  <c r="M112"/>
  <c r="O112" s="1"/>
  <c r="Q20"/>
  <c r="S20" s="1"/>
  <c r="Q18"/>
  <c r="S18" s="1"/>
  <c r="N117"/>
  <c r="P117" s="1"/>
  <c r="M17"/>
  <c r="O17" s="1"/>
  <c r="M142"/>
  <c r="O142" s="1"/>
  <c r="P66"/>
  <c r="R66" s="1"/>
  <c r="T32"/>
  <c r="V32" s="1"/>
  <c r="R143"/>
  <c r="T143" s="1"/>
  <c r="P163"/>
  <c r="R163" s="1"/>
  <c r="R19"/>
  <c r="T19" s="1"/>
  <c r="P89"/>
  <c r="R89" s="1"/>
  <c r="N171"/>
  <c r="P171" s="1"/>
  <c r="N146"/>
  <c r="P146" s="1"/>
  <c r="O45"/>
  <c r="Q45" s="1"/>
  <c r="T151"/>
  <c r="V151" s="1"/>
  <c r="N30"/>
  <c r="P30" s="1"/>
  <c r="R27"/>
  <c r="T27" s="1"/>
  <c r="S191"/>
  <c r="U191" s="1"/>
  <c r="K67"/>
  <c r="M67" s="1"/>
  <c r="R96"/>
  <c r="T96" s="1"/>
  <c r="R65"/>
  <c r="T65" s="1"/>
  <c r="R144"/>
  <c r="T144" s="1"/>
  <c r="L132"/>
  <c r="N132" s="1"/>
  <c r="O78"/>
  <c r="Q78" s="1"/>
  <c r="Q85"/>
  <c r="S85" s="1"/>
  <c r="O37"/>
  <c r="Q37" s="1"/>
  <c r="P188"/>
  <c r="R188" s="1"/>
  <c r="O135"/>
  <c r="Q135" s="1"/>
  <c r="P94"/>
  <c r="R94" s="1"/>
  <c r="R51"/>
  <c r="T51" s="1"/>
  <c r="Q134"/>
  <c r="S134" s="1"/>
  <c r="M93"/>
  <c r="O93" s="1"/>
  <c r="M34"/>
  <c r="O34" s="1"/>
  <c r="O173"/>
  <c r="Q173" s="1"/>
  <c r="P147"/>
  <c r="R147" s="1"/>
  <c r="Q103"/>
  <c r="L34"/>
  <c r="N34" s="1"/>
  <c r="M101"/>
  <c r="O101" s="1"/>
  <c r="Q174"/>
  <c r="S174" s="1"/>
  <c r="O29"/>
  <c r="Q29" s="1"/>
  <c r="O127"/>
  <c r="Q127" s="1"/>
  <c r="P70"/>
  <c r="R70" s="1"/>
  <c r="K159"/>
  <c r="M159" s="1"/>
  <c r="N104"/>
  <c r="P104" s="1"/>
  <c r="K185"/>
  <c r="M185" s="1"/>
  <c r="L170"/>
  <c r="N170" s="1"/>
  <c r="M115"/>
  <c r="O115" s="1"/>
  <c r="R15"/>
  <c r="T15" s="1"/>
  <c r="L176"/>
  <c r="N176" s="1"/>
  <c r="L116"/>
  <c r="N116" s="1"/>
  <c r="M42"/>
  <c r="O42" s="1"/>
  <c r="M162"/>
  <c r="O162" s="1"/>
  <c r="Q56"/>
  <c r="S56" s="1"/>
  <c r="K160"/>
  <c r="M160" s="1"/>
  <c r="O76"/>
  <c r="Q76" s="1"/>
  <c r="R52"/>
  <c r="T52" s="1"/>
  <c r="N124"/>
  <c r="P124" s="1"/>
  <c r="O84"/>
  <c r="Q84" s="1"/>
  <c r="P95"/>
  <c r="R95" s="1"/>
  <c r="P174"/>
  <c r="R174" s="1"/>
  <c r="O133"/>
  <c r="Q133" s="1"/>
  <c r="N157"/>
  <c r="P157" s="1"/>
  <c r="M46"/>
  <c r="O46" s="1"/>
  <c r="R88"/>
  <c r="T88" s="1"/>
  <c r="T175"/>
  <c r="V175" s="1"/>
  <c r="N130"/>
  <c r="P130" s="1"/>
  <c r="O21"/>
  <c r="Q21" s="1"/>
  <c r="M94"/>
  <c r="O94" s="1"/>
  <c r="M33"/>
  <c r="O33" s="1"/>
  <c r="M90"/>
  <c r="O90" s="1"/>
  <c r="Q175"/>
  <c r="S175" s="1"/>
  <c r="L100"/>
  <c r="N100" s="1"/>
  <c r="O164"/>
  <c r="Q164" s="1"/>
  <c r="T20"/>
  <c r="V20" s="1"/>
  <c r="N119"/>
  <c r="P119" s="1"/>
  <c r="N156"/>
  <c r="P156" s="1"/>
  <c r="L38"/>
  <c r="N38" s="1"/>
  <c r="Q28"/>
  <c r="S28" s="1"/>
  <c r="R177"/>
  <c r="T177" s="1"/>
  <c r="P83"/>
  <c r="R83" s="1"/>
  <c r="P114"/>
  <c r="R114" s="1"/>
  <c r="M25"/>
  <c r="O25" s="1"/>
  <c r="X36" l="1"/>
  <c r="U36"/>
  <c r="R161"/>
  <c r="T161" s="1"/>
  <c r="P17"/>
  <c r="R17" s="1"/>
  <c r="P55"/>
  <c r="R55" s="1"/>
  <c r="T155"/>
  <c r="V155" s="1"/>
  <c r="P122"/>
  <c r="R122" s="1"/>
  <c r="O130"/>
  <c r="Q130" s="1"/>
  <c r="Q147"/>
  <c r="S147" s="1"/>
  <c r="S102"/>
  <c r="U102" s="1"/>
  <c r="S92"/>
  <c r="U92" s="1"/>
  <c r="M39"/>
  <c r="O39" s="1"/>
  <c r="N39"/>
  <c r="Q40"/>
  <c r="R91"/>
  <c r="T91" s="1"/>
  <c r="Q99"/>
  <c r="S99" s="1"/>
  <c r="N158"/>
  <c r="P158" s="1"/>
  <c r="O148"/>
  <c r="O82"/>
  <c r="Q82" s="1"/>
  <c r="M192"/>
  <c r="O192" s="1"/>
  <c r="S165"/>
  <c r="U165" s="1"/>
  <c r="N159"/>
  <c r="P159" s="1"/>
  <c r="R182"/>
  <c r="T182" s="1"/>
  <c r="M153"/>
  <c r="M16"/>
  <c r="O16" s="1"/>
  <c r="P145"/>
  <c r="R145" s="1"/>
  <c r="P169"/>
  <c r="R169" s="1"/>
  <c r="P42"/>
  <c r="R42" s="1"/>
  <c r="Q109"/>
  <c r="T109" s="1"/>
  <c r="P184"/>
  <c r="R184" s="1"/>
  <c r="P115"/>
  <c r="R115" s="1"/>
  <c r="Q64"/>
  <c r="S64" s="1"/>
  <c r="O62"/>
  <c r="Q62" s="1"/>
  <c r="P107"/>
  <c r="R107" s="1"/>
  <c r="O107"/>
  <c r="S103"/>
  <c r="N67"/>
  <c r="P67" s="1"/>
  <c r="S177"/>
  <c r="U177" s="1"/>
  <c r="T56"/>
  <c r="V56" s="1"/>
  <c r="O180"/>
  <c r="Q180" s="1"/>
  <c r="P112"/>
  <c r="R112" s="1"/>
  <c r="N166"/>
  <c r="P166" s="1"/>
  <c r="P137"/>
  <c r="R137" s="1"/>
  <c r="P25"/>
  <c r="R25" s="1"/>
  <c r="O156"/>
  <c r="Q156" s="1"/>
  <c r="R179"/>
  <c r="T179" s="1"/>
  <c r="T99"/>
  <c r="V99" s="1"/>
  <c r="T64"/>
  <c r="V64" s="1"/>
  <c r="O23"/>
  <c r="Q23" s="1"/>
  <c r="N23"/>
  <c r="P23" s="1"/>
  <c r="M55"/>
  <c r="O55" s="1"/>
  <c r="O97"/>
  <c r="Q97" s="1"/>
  <c r="W72"/>
  <c r="Y72" s="1"/>
  <c r="R172"/>
  <c r="O157"/>
  <c r="Q157" s="1"/>
  <c r="P192"/>
  <c r="R192" s="1"/>
  <c r="T14"/>
  <c r="V14" s="1"/>
  <c r="R47"/>
  <c r="T47" s="1"/>
  <c r="V177"/>
  <c r="X177" s="1"/>
  <c r="Q94"/>
  <c r="S94" s="1"/>
  <c r="U56"/>
  <c r="W56" s="1"/>
  <c r="Q42"/>
  <c r="S42" s="1"/>
  <c r="R76"/>
  <c r="T76" s="1"/>
  <c r="T147"/>
  <c r="V147" s="1"/>
  <c r="O54"/>
  <c r="Q54" s="1"/>
  <c r="V68"/>
  <c r="X68" s="1"/>
  <c r="V144"/>
  <c r="X144" s="1"/>
  <c r="M38"/>
  <c r="O38" s="1"/>
  <c r="M170"/>
  <c r="O170" s="1"/>
  <c r="O117"/>
  <c r="Q117" s="1"/>
  <c r="M132"/>
  <c r="O132" s="1"/>
  <c r="R21"/>
  <c r="T21" s="1"/>
  <c r="Q114"/>
  <c r="S114" s="1"/>
  <c r="V123"/>
  <c r="X123" s="1"/>
  <c r="R133"/>
  <c r="T133" s="1"/>
  <c r="V92"/>
  <c r="X92" s="1"/>
  <c r="R84"/>
  <c r="T84" s="1"/>
  <c r="Q75"/>
  <c r="S75" s="1"/>
  <c r="P75"/>
  <c r="R75" s="1"/>
  <c r="S183"/>
  <c r="U183" s="1"/>
  <c r="Q79"/>
  <c r="S79" s="1"/>
  <c r="Q163"/>
  <c r="S163" s="1"/>
  <c r="Q122"/>
  <c r="S122" s="1"/>
  <c r="P149"/>
  <c r="R149" s="1"/>
  <c r="T141"/>
  <c r="V141" s="1"/>
  <c r="Q87"/>
  <c r="S87" s="1"/>
  <c r="M80"/>
  <c r="O80" s="1"/>
  <c r="P86"/>
  <c r="R86" s="1"/>
  <c r="R127"/>
  <c r="T127" s="1"/>
  <c r="R59"/>
  <c r="T59" s="1"/>
  <c r="T103"/>
  <c r="V103" s="1"/>
  <c r="S51"/>
  <c r="U51" s="1"/>
  <c r="Q83"/>
  <c r="S83" s="1"/>
  <c r="M100"/>
  <c r="O100" s="1"/>
  <c r="P108"/>
  <c r="R108" s="1"/>
  <c r="S109"/>
  <c r="O154"/>
  <c r="Q154" s="1"/>
  <c r="R152"/>
  <c r="T152" s="1"/>
  <c r="T110"/>
  <c r="V110" s="1"/>
  <c r="Q98"/>
  <c r="S98" s="1"/>
  <c r="W36"/>
  <c r="Y36" s="1"/>
  <c r="R180"/>
  <c r="T180" s="1"/>
  <c r="Q186"/>
  <c r="S186" s="1"/>
  <c r="Q131"/>
  <c r="S131" s="1"/>
  <c r="P101"/>
  <c r="R101" s="1"/>
  <c r="Q66"/>
  <c r="S66" s="1"/>
  <c r="P50"/>
  <c r="R50" s="1"/>
  <c r="R181"/>
  <c r="T181" s="1"/>
  <c r="M176"/>
  <c r="O176" s="1"/>
  <c r="O138"/>
  <c r="Q138" s="1"/>
  <c r="N185"/>
  <c r="P185" s="1"/>
  <c r="R78"/>
  <c r="T78" s="1"/>
  <c r="S15"/>
  <c r="U15" s="1"/>
  <c r="Q141"/>
  <c r="S141" s="1"/>
  <c r="T126"/>
  <c r="V126" s="1"/>
  <c r="R136"/>
  <c r="T136" s="1"/>
  <c r="Q81"/>
  <c r="S81" s="1"/>
  <c r="M50"/>
  <c r="O50" s="1"/>
  <c r="T83"/>
  <c r="V83" s="1"/>
  <c r="V191"/>
  <c r="X191" s="1"/>
  <c r="Q86"/>
  <c r="S86" s="1"/>
  <c r="U14"/>
  <c r="W14" s="1"/>
  <c r="T42"/>
  <c r="V42" s="1"/>
  <c r="S43"/>
  <c r="U43" s="1"/>
  <c r="T61"/>
  <c r="V61" s="1"/>
  <c r="T79"/>
  <c r="V79" s="1"/>
  <c r="Q25"/>
  <c r="S25" s="1"/>
  <c r="U175"/>
  <c r="W175" s="1"/>
  <c r="S21"/>
  <c r="U21" s="1"/>
  <c r="T28"/>
  <c r="V28" s="1"/>
  <c r="T174"/>
  <c r="V174" s="1"/>
  <c r="O124"/>
  <c r="Q124" s="1"/>
  <c r="Q95"/>
  <c r="S95" s="1"/>
  <c r="P116"/>
  <c r="R116" s="1"/>
  <c r="Q101"/>
  <c r="S101" s="1"/>
  <c r="T94"/>
  <c r="V94" s="1"/>
  <c r="S180"/>
  <c r="U180" s="1"/>
  <c r="Q49"/>
  <c r="S49" s="1"/>
  <c r="U20"/>
  <c r="W20" s="1"/>
  <c r="W68"/>
  <c r="Y68" s="1"/>
  <c r="S179"/>
  <c r="U179" s="1"/>
  <c r="Q108"/>
  <c r="S108" s="1"/>
  <c r="N13"/>
  <c r="V165"/>
  <c r="X165" s="1"/>
  <c r="P16"/>
  <c r="R16" s="1"/>
  <c r="P90"/>
  <c r="R90" s="1"/>
  <c r="U32"/>
  <c r="W32" s="1"/>
  <c r="O166"/>
  <c r="Q166" s="1"/>
  <c r="Q145"/>
  <c r="S145" s="1"/>
  <c r="U151"/>
  <c r="W151" s="1"/>
  <c r="M13"/>
  <c r="Q111"/>
  <c r="S111" s="1"/>
  <c r="T85"/>
  <c r="V85" s="1"/>
  <c r="Q89"/>
  <c r="S89" s="1"/>
  <c r="P93"/>
  <c r="R93" s="1"/>
  <c r="P142"/>
  <c r="R142" s="1"/>
  <c r="R29"/>
  <c r="T29" s="1"/>
  <c r="P71"/>
  <c r="R71" s="1"/>
  <c r="Q184"/>
  <c r="S184" s="1"/>
  <c r="O146"/>
  <c r="Q146" s="1"/>
  <c r="T131"/>
  <c r="V131" s="1"/>
  <c r="X69"/>
  <c r="Z69" s="1"/>
  <c r="O60"/>
  <c r="Q60" s="1"/>
  <c r="O35"/>
  <c r="Q35" s="1"/>
  <c r="S88"/>
  <c r="U88" s="1"/>
  <c r="Q74"/>
  <c r="S74" s="1"/>
  <c r="S182"/>
  <c r="U182" s="1"/>
  <c r="O129"/>
  <c r="Q129" s="1"/>
  <c r="T41"/>
  <c r="V41" s="1"/>
  <c r="P46"/>
  <c r="R46" s="1"/>
  <c r="S19"/>
  <c r="U19" s="1"/>
  <c r="Q48"/>
  <c r="S48" s="1"/>
  <c r="N160"/>
  <c r="P160" s="1"/>
  <c r="R173"/>
  <c r="T173" s="1"/>
  <c r="R44"/>
  <c r="T44" s="1"/>
  <c r="O113"/>
  <c r="Q113" s="1"/>
  <c r="R31"/>
  <c r="T31" s="1"/>
  <c r="O125"/>
  <c r="Q125" s="1"/>
  <c r="T18"/>
  <c r="V18" s="1"/>
  <c r="N105"/>
  <c r="P105" s="1"/>
  <c r="R167"/>
  <c r="T167" s="1"/>
  <c r="T95"/>
  <c r="V95" s="1"/>
  <c r="Q192"/>
  <c r="S192" s="1"/>
  <c r="W191"/>
  <c r="Y191" s="1"/>
  <c r="P33"/>
  <c r="R33" s="1"/>
  <c r="R54"/>
  <c r="T54" s="1"/>
  <c r="R60"/>
  <c r="T60" s="1"/>
  <c r="T98"/>
  <c r="V98" s="1"/>
  <c r="V187"/>
  <c r="X187" s="1"/>
  <c r="P80"/>
  <c r="R80" s="1"/>
  <c r="R166"/>
  <c r="T166" s="1"/>
  <c r="U26"/>
  <c r="W26" s="1"/>
  <c r="T26"/>
  <c r="V26" s="1"/>
  <c r="T114"/>
  <c r="V114" s="1"/>
  <c r="P38"/>
  <c r="R38" s="1"/>
  <c r="Q46"/>
  <c r="S46" s="1"/>
  <c r="O160"/>
  <c r="Q160" s="1"/>
  <c r="P176"/>
  <c r="R176" s="1"/>
  <c r="P170"/>
  <c r="R170" s="1"/>
  <c r="O159"/>
  <c r="Q159" s="1"/>
  <c r="P34"/>
  <c r="R34" s="1"/>
  <c r="S173"/>
  <c r="U173" s="1"/>
  <c r="Q93"/>
  <c r="S93" s="1"/>
  <c r="T122"/>
  <c r="V122" s="1"/>
  <c r="S78"/>
  <c r="U78" s="1"/>
  <c r="O67"/>
  <c r="Q67" s="1"/>
  <c r="O119"/>
  <c r="Q119" s="1"/>
  <c r="P162"/>
  <c r="R162" s="1"/>
  <c r="Q17"/>
  <c r="S17" s="1"/>
  <c r="V102"/>
  <c r="X102" s="1"/>
  <c r="Q149"/>
  <c r="S149" s="1"/>
  <c r="R135"/>
  <c r="T135" s="1"/>
  <c r="T87"/>
  <c r="V87" s="1"/>
  <c r="S27"/>
  <c r="U27" s="1"/>
  <c r="S181"/>
  <c r="U181" s="1"/>
  <c r="S65"/>
  <c r="U65" s="1"/>
  <c r="T134"/>
  <c r="V134" s="1"/>
  <c r="S52"/>
  <c r="U52" s="1"/>
  <c r="R77"/>
  <c r="T77" s="1"/>
  <c r="O171"/>
  <c r="Q171" s="1"/>
  <c r="O106"/>
  <c r="Q106" s="1"/>
  <c r="Q70"/>
  <c r="S70" s="1"/>
  <c r="Q188"/>
  <c r="S188" s="1"/>
  <c r="S96"/>
  <c r="U96" s="1"/>
  <c r="O30"/>
  <c r="Q30" s="1"/>
  <c r="O53"/>
  <c r="Q53" s="1"/>
  <c r="R121"/>
  <c r="T121" s="1"/>
  <c r="R37"/>
  <c r="T37" s="1"/>
  <c r="P150"/>
  <c r="R150" s="1"/>
  <c r="R164"/>
  <c r="T164" s="1"/>
  <c r="Q168"/>
  <c r="S168" s="1"/>
  <c r="V140"/>
  <c r="X140" s="1"/>
  <c r="T74"/>
  <c r="V74" s="1"/>
  <c r="U41"/>
  <c r="W41" s="1"/>
  <c r="S161"/>
  <c r="U161" s="1"/>
  <c r="R120"/>
  <c r="T120" s="1"/>
  <c r="N128"/>
  <c r="P128" s="1"/>
  <c r="O104"/>
  <c r="Q104" s="1"/>
  <c r="P178"/>
  <c r="R178" s="1"/>
  <c r="R138"/>
  <c r="T138" s="1"/>
  <c r="Q118"/>
  <c r="S118" s="1"/>
  <c r="R45"/>
  <c r="T45" s="1"/>
  <c r="R113"/>
  <c r="T113" s="1"/>
  <c r="M116"/>
  <c r="O116" s="1"/>
  <c r="T81"/>
  <c r="V81" s="1"/>
  <c r="R63"/>
  <c r="T63" s="1"/>
  <c r="Q137"/>
  <c r="S137" s="1"/>
  <c r="Q139"/>
  <c r="S139" s="1"/>
  <c r="S143"/>
  <c r="U143" s="1"/>
  <c r="U22"/>
  <c r="W22" s="1"/>
  <c r="O73"/>
  <c r="Q73" s="1"/>
  <c r="O189"/>
  <c r="Q189" s="1"/>
  <c r="Q190"/>
  <c r="S190" s="1"/>
  <c r="Q169" l="1"/>
  <c r="S169" s="1"/>
  <c r="V19"/>
  <c r="X19" s="1"/>
  <c r="T25"/>
  <c r="V25" s="1"/>
  <c r="W165"/>
  <c r="Y165" s="1"/>
  <c r="U109"/>
  <c r="T163"/>
  <c r="V163" s="1"/>
  <c r="Q148"/>
  <c r="S148" s="1"/>
  <c r="R148"/>
  <c r="R97"/>
  <c r="T97" s="1"/>
  <c r="U155"/>
  <c r="W155" s="1"/>
  <c r="Q112"/>
  <c r="S112" s="1"/>
  <c r="R130"/>
  <c r="T130" s="1"/>
  <c r="S47"/>
  <c r="U47" s="1"/>
  <c r="V96"/>
  <c r="X96" s="1"/>
  <c r="R117"/>
  <c r="T117" s="1"/>
  <c r="R171"/>
  <c r="T171" s="1"/>
  <c r="T70"/>
  <c r="V70" s="1"/>
  <c r="R156"/>
  <c r="T156" s="1"/>
  <c r="X22"/>
  <c r="Z22" s="1"/>
  <c r="U61"/>
  <c r="W61" s="1"/>
  <c r="Q55"/>
  <c r="S55" s="1"/>
  <c r="Z72"/>
  <c r="AB72" s="1"/>
  <c r="AE72" s="1"/>
  <c r="U64"/>
  <c r="W64" s="1"/>
  <c r="S40"/>
  <c r="T40"/>
  <c r="V40" s="1"/>
  <c r="X155"/>
  <c r="O158"/>
  <c r="Q158" s="1"/>
  <c r="T55"/>
  <c r="V55" s="1"/>
  <c r="R82"/>
  <c r="T82" s="1"/>
  <c r="R146"/>
  <c r="T146" s="1"/>
  <c r="S135"/>
  <c r="U135" s="1"/>
  <c r="S29"/>
  <c r="U29" s="1"/>
  <c r="X32"/>
  <c r="Z32" s="1"/>
  <c r="Q115"/>
  <c r="S115" s="1"/>
  <c r="R119"/>
  <c r="T119" s="1"/>
  <c r="O185"/>
  <c r="Q185" s="1"/>
  <c r="R53"/>
  <c r="T53" s="1"/>
  <c r="T172"/>
  <c r="V172" s="1"/>
  <c r="S172"/>
  <c r="R23"/>
  <c r="T23" s="1"/>
  <c r="Q107"/>
  <c r="S107" s="1"/>
  <c r="S91"/>
  <c r="U91" s="1"/>
  <c r="O153"/>
  <c r="P153"/>
  <c r="R153" s="1"/>
  <c r="U99"/>
  <c r="W99" s="1"/>
  <c r="P39"/>
  <c r="R39" s="1"/>
  <c r="R62"/>
  <c r="T62" s="1"/>
  <c r="X41"/>
  <c r="Z41" s="1"/>
  <c r="Q16"/>
  <c r="S16" s="1"/>
  <c r="S130"/>
  <c r="U130" s="1"/>
  <c r="V43"/>
  <c r="X43" s="1"/>
  <c r="Y22"/>
  <c r="AA22" s="1"/>
  <c r="AD22" s="1"/>
  <c r="Q116"/>
  <c r="S116" s="1"/>
  <c r="W96"/>
  <c r="Y96" s="1"/>
  <c r="S171"/>
  <c r="U171" s="1"/>
  <c r="V143"/>
  <c r="X143" s="1"/>
  <c r="R30"/>
  <c r="T30" s="1"/>
  <c r="V52"/>
  <c r="X52" s="1"/>
  <c r="Q90"/>
  <c r="S90" s="1"/>
  <c r="S77"/>
  <c r="U77" s="1"/>
  <c r="R73"/>
  <c r="T73" s="1"/>
  <c r="P132"/>
  <c r="R132" s="1"/>
  <c r="S113"/>
  <c r="U113" s="1"/>
  <c r="Y69"/>
  <c r="AA69" s="1"/>
  <c r="AD69" s="1"/>
  <c r="S166"/>
  <c r="U166" s="1"/>
  <c r="S120"/>
  <c r="U120" s="1"/>
  <c r="Z165"/>
  <c r="AB165" s="1"/>
  <c r="AE165" s="1"/>
  <c r="U126"/>
  <c r="W126" s="1"/>
  <c r="S82"/>
  <c r="U82" s="1"/>
  <c r="S127"/>
  <c r="U127" s="1"/>
  <c r="U95"/>
  <c r="W95" s="1"/>
  <c r="U28"/>
  <c r="W28" s="1"/>
  <c r="S136"/>
  <c r="U136" s="1"/>
  <c r="Z191"/>
  <c r="AB191" s="1"/>
  <c r="AE191" s="1"/>
  <c r="R159"/>
  <c r="T159" s="1"/>
  <c r="Q50"/>
  <c r="S50" s="1"/>
  <c r="U141"/>
  <c r="W141" s="1"/>
  <c r="S138"/>
  <c r="U138" s="1"/>
  <c r="S167"/>
  <c r="U167" s="1"/>
  <c r="S152"/>
  <c r="U152" s="1"/>
  <c r="R154"/>
  <c r="T154" s="1"/>
  <c r="T86"/>
  <c r="V86" s="1"/>
  <c r="T149"/>
  <c r="V149" s="1"/>
  <c r="R35"/>
  <c r="T35" s="1"/>
  <c r="R129"/>
  <c r="T129" s="1"/>
  <c r="R106"/>
  <c r="T106" s="1"/>
  <c r="T66"/>
  <c r="V66" s="1"/>
  <c r="S45"/>
  <c r="U45" s="1"/>
  <c r="Z68"/>
  <c r="AB68" s="1"/>
  <c r="AE68" s="1"/>
  <c r="V109"/>
  <c r="X109" s="1"/>
  <c r="R104"/>
  <c r="T104" s="1"/>
  <c r="S76"/>
  <c r="U76" s="1"/>
  <c r="U94"/>
  <c r="W94" s="1"/>
  <c r="T49"/>
  <c r="V49" s="1"/>
  <c r="W102"/>
  <c r="Y102" s="1"/>
  <c r="S59"/>
  <c r="U59" s="1"/>
  <c r="T139"/>
  <c r="V139" s="1"/>
  <c r="T112"/>
  <c r="V112" s="1"/>
  <c r="T192"/>
  <c r="V192" s="1"/>
  <c r="X151"/>
  <c r="Z151" s="1"/>
  <c r="W177"/>
  <c r="Y177" s="1"/>
  <c r="Y41"/>
  <c r="AA41" s="1"/>
  <c r="AD41" s="1"/>
  <c r="V130"/>
  <c r="X130" s="1"/>
  <c r="AA191"/>
  <c r="AD191" s="1"/>
  <c r="T93"/>
  <c r="V93" s="1"/>
  <c r="T90"/>
  <c r="V90" s="1"/>
  <c r="Z96"/>
  <c r="AB96" s="1"/>
  <c r="AE96" s="1"/>
  <c r="T116"/>
  <c r="V116" s="1"/>
  <c r="R185"/>
  <c r="T185" s="1"/>
  <c r="U83"/>
  <c r="W83" s="1"/>
  <c r="Q132"/>
  <c r="S132" s="1"/>
  <c r="S54"/>
  <c r="U54" s="1"/>
  <c r="Z177"/>
  <c r="AB177" s="1"/>
  <c r="AE177" s="1"/>
  <c r="W144"/>
  <c r="Y144" s="1"/>
  <c r="W143"/>
  <c r="Y143" s="1"/>
  <c r="V113"/>
  <c r="X113" s="1"/>
  <c r="S53"/>
  <c r="U53" s="1"/>
  <c r="T169"/>
  <c r="V169" s="1"/>
  <c r="V77"/>
  <c r="X77" s="1"/>
  <c r="X20"/>
  <c r="Z20" s="1"/>
  <c r="X26"/>
  <c r="Z26" s="1"/>
  <c r="V166"/>
  <c r="X166" s="1"/>
  <c r="X95"/>
  <c r="Z95" s="1"/>
  <c r="W19"/>
  <c r="Y19" s="1"/>
  <c r="S60"/>
  <c r="U60" s="1"/>
  <c r="S146"/>
  <c r="U146" s="1"/>
  <c r="V29"/>
  <c r="X29" s="1"/>
  <c r="Y32"/>
  <c r="AA32" s="1"/>
  <c r="AD32" s="1"/>
  <c r="T190"/>
  <c r="V190" s="1"/>
  <c r="P13"/>
  <c r="R125"/>
  <c r="T125" s="1"/>
  <c r="Q178"/>
  <c r="S178" s="1"/>
  <c r="Q142"/>
  <c r="S142" s="1"/>
  <c r="U85"/>
  <c r="W85" s="1"/>
  <c r="AA165"/>
  <c r="AD165" s="1"/>
  <c r="X56"/>
  <c r="Z56" s="1"/>
  <c r="U25"/>
  <c r="W25" s="1"/>
  <c r="T48"/>
  <c r="V48" s="1"/>
  <c r="U86"/>
  <c r="W86" s="1"/>
  <c r="Q34"/>
  <c r="S34" s="1"/>
  <c r="X175"/>
  <c r="Z175" s="1"/>
  <c r="U81"/>
  <c r="W81" s="1"/>
  <c r="Q176"/>
  <c r="S176" s="1"/>
  <c r="T101"/>
  <c r="V101" s="1"/>
  <c r="U98"/>
  <c r="W98" s="1"/>
  <c r="O128"/>
  <c r="Q128" s="1"/>
  <c r="T108"/>
  <c r="V108" s="1"/>
  <c r="Q80"/>
  <c r="S80" s="1"/>
  <c r="U122"/>
  <c r="W122" s="1"/>
  <c r="U79"/>
  <c r="W79" s="1"/>
  <c r="T75"/>
  <c r="V75" s="1"/>
  <c r="V21"/>
  <c r="X21" s="1"/>
  <c r="S117"/>
  <c r="U117" s="1"/>
  <c r="Q38"/>
  <c r="S38" s="1"/>
  <c r="T188"/>
  <c r="V188" s="1"/>
  <c r="V15"/>
  <c r="X15" s="1"/>
  <c r="S84"/>
  <c r="U84" s="1"/>
  <c r="P100"/>
  <c r="R100" s="1"/>
  <c r="W92"/>
  <c r="Y92" s="1"/>
  <c r="V183"/>
  <c r="X183" s="1"/>
  <c r="V161"/>
  <c r="X161" s="1"/>
  <c r="T184"/>
  <c r="V184" s="1"/>
  <c r="R189"/>
  <c r="T189" s="1"/>
  <c r="X14"/>
  <c r="Z14" s="1"/>
  <c r="W123"/>
  <c r="Y123" s="1"/>
  <c r="V182"/>
  <c r="X182" s="1"/>
  <c r="R157"/>
  <c r="T157" s="1"/>
  <c r="U169"/>
  <c r="W169" s="1"/>
  <c r="S106"/>
  <c r="U106" s="1"/>
  <c r="U149"/>
  <c r="W149" s="1"/>
  <c r="S160"/>
  <c r="U160" s="1"/>
  <c r="Y26"/>
  <c r="AA26" s="1"/>
  <c r="AD26" s="1"/>
  <c r="R160"/>
  <c r="T160" s="1"/>
  <c r="O13"/>
  <c r="X94"/>
  <c r="W43"/>
  <c r="Y43" s="1"/>
  <c r="T118"/>
  <c r="V118" s="1"/>
  <c r="W109"/>
  <c r="Y109" s="1"/>
  <c r="X141"/>
  <c r="Z141" s="1"/>
  <c r="U114"/>
  <c r="W114" s="1"/>
  <c r="Z144"/>
  <c r="AB144" s="1"/>
  <c r="AE144" s="1"/>
  <c r="V88"/>
  <c r="X88" s="1"/>
  <c r="AB22"/>
  <c r="AE22" s="1"/>
  <c r="Q71"/>
  <c r="S71" s="1"/>
  <c r="U190"/>
  <c r="W190" s="1"/>
  <c r="T178"/>
  <c r="V178" s="1"/>
  <c r="U139"/>
  <c r="W139" s="1"/>
  <c r="S104"/>
  <c r="U104" s="1"/>
  <c r="W161"/>
  <c r="Y161" s="1"/>
  <c r="T137"/>
  <c r="V137" s="1"/>
  <c r="V82"/>
  <c r="X82" s="1"/>
  <c r="T168"/>
  <c r="V168" s="1"/>
  <c r="Q150"/>
  <c r="S150" s="1"/>
  <c r="U70"/>
  <c r="W70" s="1"/>
  <c r="Z155"/>
  <c r="V135"/>
  <c r="X135" s="1"/>
  <c r="S119"/>
  <c r="U119" s="1"/>
  <c r="V65"/>
  <c r="X65" s="1"/>
  <c r="U134"/>
  <c r="W134" s="1"/>
  <c r="W29"/>
  <c r="Y29" s="1"/>
  <c r="Q162"/>
  <c r="S162" s="1"/>
  <c r="T38"/>
  <c r="V38" s="1"/>
  <c r="S63"/>
  <c r="U63" s="1"/>
  <c r="T80"/>
  <c r="V80" s="1"/>
  <c r="S164"/>
  <c r="U164" s="1"/>
  <c r="V173"/>
  <c r="X173" s="1"/>
  <c r="T46"/>
  <c r="V46" s="1"/>
  <c r="U74"/>
  <c r="W74" s="1"/>
  <c r="T142"/>
  <c r="V142" s="1"/>
  <c r="Z36"/>
  <c r="AB36" s="1"/>
  <c r="AE36" s="1"/>
  <c r="W140"/>
  <c r="Y140" s="1"/>
  <c r="Y151"/>
  <c r="AA151" s="1"/>
  <c r="AD151" s="1"/>
  <c r="S31"/>
  <c r="U31" s="1"/>
  <c r="T111"/>
  <c r="V111" s="1"/>
  <c r="V27"/>
  <c r="X27" s="1"/>
  <c r="S37"/>
  <c r="U37" s="1"/>
  <c r="R124"/>
  <c r="T124" s="1"/>
  <c r="O105"/>
  <c r="Q105" s="1"/>
  <c r="X61"/>
  <c r="Z61" s="1"/>
  <c r="S44"/>
  <c r="U44" s="1"/>
  <c r="W187"/>
  <c r="Y187" s="1"/>
  <c r="T89"/>
  <c r="V89" s="1"/>
  <c r="U174"/>
  <c r="W174" s="1"/>
  <c r="Q33"/>
  <c r="S33" s="1"/>
  <c r="V78"/>
  <c r="X78" s="1"/>
  <c r="V181"/>
  <c r="X181" s="1"/>
  <c r="U131"/>
  <c r="W131" s="1"/>
  <c r="V180"/>
  <c r="X180" s="1"/>
  <c r="S154"/>
  <c r="U154" s="1"/>
  <c r="U87"/>
  <c r="W87" s="1"/>
  <c r="U163"/>
  <c r="W163" s="1"/>
  <c r="T186"/>
  <c r="V186" s="1"/>
  <c r="Z123"/>
  <c r="AB123" s="1"/>
  <c r="AE123" s="1"/>
  <c r="U18"/>
  <c r="W18" s="1"/>
  <c r="Q170"/>
  <c r="S170" s="1"/>
  <c r="V51"/>
  <c r="X51" s="1"/>
  <c r="V76"/>
  <c r="X76" s="1"/>
  <c r="U42"/>
  <c r="W42" s="1"/>
  <c r="S133"/>
  <c r="U133" s="1"/>
  <c r="T17"/>
  <c r="V17" s="1"/>
  <c r="V179"/>
  <c r="X179" s="1"/>
  <c r="U147"/>
  <c r="W147" s="1"/>
  <c r="S121"/>
  <c r="U121" s="1"/>
  <c r="V47"/>
  <c r="X47" s="1"/>
  <c r="R67"/>
  <c r="T67" s="1"/>
  <c r="U110"/>
  <c r="W110" s="1"/>
  <c r="T145"/>
  <c r="V145" s="1"/>
  <c r="U103"/>
  <c r="W103" s="1"/>
  <c r="Q100" l="1"/>
  <c r="S100" s="1"/>
  <c r="Y175"/>
  <c r="AA175" s="1"/>
  <c r="AD175" s="1"/>
  <c r="U108"/>
  <c r="W108" s="1"/>
  <c r="X147"/>
  <c r="Z147" s="1"/>
  <c r="Z19"/>
  <c r="AB19" s="1"/>
  <c r="AE19" s="1"/>
  <c r="S185"/>
  <c r="U185" s="1"/>
  <c r="T162"/>
  <c r="V162" s="1"/>
  <c r="U145"/>
  <c r="W145" s="1"/>
  <c r="Q153"/>
  <c r="S153" s="1"/>
  <c r="U172"/>
  <c r="W172" s="1"/>
  <c r="V91"/>
  <c r="X91" s="1"/>
  <c r="U40"/>
  <c r="W40" s="1"/>
  <c r="X99"/>
  <c r="Z99" s="1"/>
  <c r="T107"/>
  <c r="V107" s="1"/>
  <c r="T148"/>
  <c r="V148" s="1"/>
  <c r="S97"/>
  <c r="U97" s="1"/>
  <c r="Q39"/>
  <c r="S39" s="1"/>
  <c r="U39" s="1"/>
  <c r="W51"/>
  <c r="Y51" s="1"/>
  <c r="S35"/>
  <c r="U35" s="1"/>
  <c r="T39"/>
  <c r="V39" s="1"/>
  <c r="X39" s="1"/>
  <c r="W91"/>
  <c r="Y91" s="1"/>
  <c r="X172"/>
  <c r="Z172" s="1"/>
  <c r="R158"/>
  <c r="T158" s="1"/>
  <c r="U55"/>
  <c r="W55" s="1"/>
  <c r="AA72"/>
  <c r="AD72" s="1"/>
  <c r="U148"/>
  <c r="W148" s="1"/>
  <c r="S23"/>
  <c r="U23" s="1"/>
  <c r="U75"/>
  <c r="W75" s="1"/>
  <c r="V59"/>
  <c r="X59" s="1"/>
  <c r="U184"/>
  <c r="W184" s="1"/>
  <c r="S125"/>
  <c r="U125" s="1"/>
  <c r="V37"/>
  <c r="X37" s="1"/>
  <c r="X98"/>
  <c r="Z98" s="1"/>
  <c r="X81"/>
  <c r="Z81" s="1"/>
  <c r="X28"/>
  <c r="Z28" s="1"/>
  <c r="W180"/>
  <c r="Y180" s="1"/>
  <c r="V121"/>
  <c r="X121" s="1"/>
  <c r="S157"/>
  <c r="U157" s="1"/>
  <c r="U101"/>
  <c r="W101" s="1"/>
  <c r="V54"/>
  <c r="X54" s="1"/>
  <c r="Y99"/>
  <c r="AA99" s="1"/>
  <c r="AD99" s="1"/>
  <c r="U107"/>
  <c r="W107" s="1"/>
  <c r="Y155"/>
  <c r="AB155" s="1"/>
  <c r="AE155" s="1"/>
  <c r="S62"/>
  <c r="U62" s="1"/>
  <c r="S156"/>
  <c r="Z94"/>
  <c r="W15"/>
  <c r="Y15" s="1"/>
  <c r="V117"/>
  <c r="X117" s="1"/>
  <c r="X85"/>
  <c r="Z85" s="1"/>
  <c r="S67"/>
  <c r="U67" s="1"/>
  <c r="R105"/>
  <c r="T105" s="1"/>
  <c r="W65"/>
  <c r="Y65" s="1"/>
  <c r="V138"/>
  <c r="X138" s="1"/>
  <c r="T153"/>
  <c r="V153" s="1"/>
  <c r="V23"/>
  <c r="X23" s="1"/>
  <c r="X55"/>
  <c r="X40"/>
  <c r="Z40" s="1"/>
  <c r="V97"/>
  <c r="X97" s="1"/>
  <c r="X64"/>
  <c r="Z64" s="1"/>
  <c r="T115"/>
  <c r="U142"/>
  <c r="W142" s="1"/>
  <c r="W76"/>
  <c r="Y76" s="1"/>
  <c r="X145"/>
  <c r="Z145" s="1"/>
  <c r="Z51"/>
  <c r="AB51" s="1"/>
  <c r="AE51" s="1"/>
  <c r="X110"/>
  <c r="Z110" s="1"/>
  <c r="S105"/>
  <c r="U105" s="1"/>
  <c r="T33"/>
  <c r="V33" s="1"/>
  <c r="Y56"/>
  <c r="AA56" s="1"/>
  <c r="AD56" s="1"/>
  <c r="Q13"/>
  <c r="V160"/>
  <c r="X160" s="1"/>
  <c r="W78"/>
  <c r="Y78" s="1"/>
  <c r="R128"/>
  <c r="T128" s="1"/>
  <c r="X184"/>
  <c r="Z184" s="1"/>
  <c r="T100"/>
  <c r="V100" s="1"/>
  <c r="V133"/>
  <c r="X133" s="1"/>
  <c r="U80"/>
  <c r="W80" s="1"/>
  <c r="Y98"/>
  <c r="AA98" s="1"/>
  <c r="AD98" s="1"/>
  <c r="U178"/>
  <c r="W178" s="1"/>
  <c r="X190"/>
  <c r="Z190" s="1"/>
  <c r="W182"/>
  <c r="Y182" s="1"/>
  <c r="T176"/>
  <c r="V176" s="1"/>
  <c r="T150"/>
  <c r="V150" s="1"/>
  <c r="W54"/>
  <c r="Y54" s="1"/>
  <c r="AA36"/>
  <c r="AD36" s="1"/>
  <c r="Z187"/>
  <c r="AB187" s="1"/>
  <c r="AE187" s="1"/>
  <c r="X134"/>
  <c r="Z134" s="1"/>
  <c r="AA177"/>
  <c r="AD177" s="1"/>
  <c r="V104"/>
  <c r="X104" s="1"/>
  <c r="V35"/>
  <c r="X35" s="1"/>
  <c r="V154"/>
  <c r="X154" s="1"/>
  <c r="U66"/>
  <c r="W66" s="1"/>
  <c r="X42"/>
  <c r="Z42" s="1"/>
  <c r="Y95"/>
  <c r="AA95" s="1"/>
  <c r="AD95" s="1"/>
  <c r="U49"/>
  <c r="W49" s="1"/>
  <c r="U89"/>
  <c r="W89" s="1"/>
  <c r="S129"/>
  <c r="U129" s="1"/>
  <c r="U192"/>
  <c r="W192" s="1"/>
  <c r="W77"/>
  <c r="Y77" s="1"/>
  <c r="T170"/>
  <c r="V170" s="1"/>
  <c r="Z143"/>
  <c r="AB143" s="1"/>
  <c r="AE143" s="1"/>
  <c r="V164"/>
  <c r="X164" s="1"/>
  <c r="U116"/>
  <c r="W116" s="1"/>
  <c r="Z43"/>
  <c r="AB43" s="1"/>
  <c r="AE43" s="1"/>
  <c r="X70"/>
  <c r="Z70" s="1"/>
  <c r="V127"/>
  <c r="X127" s="1"/>
  <c r="W130"/>
  <c r="Y130" s="1"/>
  <c r="T71"/>
  <c r="V71" s="1"/>
  <c r="X114"/>
  <c r="Z114" s="1"/>
  <c r="U168"/>
  <c r="W168" s="1"/>
  <c r="X142"/>
  <c r="Z142" s="1"/>
  <c r="W63"/>
  <c r="Y63" s="1"/>
  <c r="U17"/>
  <c r="W17" s="1"/>
  <c r="V63"/>
  <c r="X63" s="1"/>
  <c r="W160"/>
  <c r="Y160" s="1"/>
  <c r="U176"/>
  <c r="W176" s="1"/>
  <c r="X18"/>
  <c r="Z18" s="1"/>
  <c r="W181"/>
  <c r="Y181" s="1"/>
  <c r="V129"/>
  <c r="X129" s="1"/>
  <c r="AA65"/>
  <c r="AD65" s="1"/>
  <c r="X126"/>
  <c r="Z126" s="1"/>
  <c r="W121"/>
  <c r="Y121" s="1"/>
  <c r="Y147"/>
  <c r="AA147" s="1"/>
  <c r="AD147" s="1"/>
  <c r="W133"/>
  <c r="Y133" s="1"/>
  <c r="Z180"/>
  <c r="AB180" s="1"/>
  <c r="AE180" s="1"/>
  <c r="V136"/>
  <c r="X136" s="1"/>
  <c r="W37"/>
  <c r="Y37" s="1"/>
  <c r="W179"/>
  <c r="Y179" s="1"/>
  <c r="AB69"/>
  <c r="AE69" s="1"/>
  <c r="V60"/>
  <c r="X60" s="1"/>
  <c r="U46"/>
  <c r="W46" s="1"/>
  <c r="Z65"/>
  <c r="AB65" s="1"/>
  <c r="AE65" s="1"/>
  <c r="X168"/>
  <c r="Z168" s="1"/>
  <c r="W104"/>
  <c r="Y104" s="1"/>
  <c r="S189"/>
  <c r="U189" s="1"/>
  <c r="U186"/>
  <c r="W186" s="1"/>
  <c r="X174"/>
  <c r="Z174" s="1"/>
  <c r="AA123"/>
  <c r="AD123" s="1"/>
  <c r="Z161"/>
  <c r="AB161" s="1"/>
  <c r="AE161" s="1"/>
  <c r="U38"/>
  <c r="W38" s="1"/>
  <c r="X75"/>
  <c r="Z75" s="1"/>
  <c r="X103"/>
  <c r="Z103" s="1"/>
  <c r="Y81"/>
  <c r="AA81" s="1"/>
  <c r="AD81" s="1"/>
  <c r="W21"/>
  <c r="Y21" s="1"/>
  <c r="Y85"/>
  <c r="AA85" s="1"/>
  <c r="AD85" s="1"/>
  <c r="V125"/>
  <c r="X125" s="1"/>
  <c r="Z29"/>
  <c r="AB29" s="1"/>
  <c r="AE29" s="1"/>
  <c r="AA19"/>
  <c r="AD19" s="1"/>
  <c r="AB26"/>
  <c r="AE26" s="1"/>
  <c r="T34"/>
  <c r="V34" s="1"/>
  <c r="U112"/>
  <c r="W112" s="1"/>
  <c r="Z55"/>
  <c r="Z140"/>
  <c r="AB140" s="1"/>
  <c r="AE140" s="1"/>
  <c r="X163"/>
  <c r="Z163" s="1"/>
  <c r="V185"/>
  <c r="X185" s="1"/>
  <c r="W88"/>
  <c r="Y88" s="1"/>
  <c r="Z130"/>
  <c r="AB130" s="1"/>
  <c r="AE130" s="1"/>
  <c r="S30"/>
  <c r="U30" s="1"/>
  <c r="AB151"/>
  <c r="AE151" s="1"/>
  <c r="X139"/>
  <c r="Z139" s="1"/>
  <c r="Z109"/>
  <c r="AB109" s="1"/>
  <c r="AE109" s="1"/>
  <c r="V106"/>
  <c r="X106" s="1"/>
  <c r="X149"/>
  <c r="Z149" s="1"/>
  <c r="W138"/>
  <c r="Y138" s="1"/>
  <c r="X79"/>
  <c r="Z79" s="1"/>
  <c r="W127"/>
  <c r="Y127" s="1"/>
  <c r="W39"/>
  <c r="Y39" s="1"/>
  <c r="U48"/>
  <c r="W48" s="1"/>
  <c r="T132"/>
  <c r="V132" s="1"/>
  <c r="X25"/>
  <c r="Z25" s="1"/>
  <c r="W173"/>
  <c r="Y173" s="1"/>
  <c r="Z102"/>
  <c r="AB102" s="1"/>
  <c r="AE102" s="1"/>
  <c r="U188"/>
  <c r="W188" s="1"/>
  <c r="X74"/>
  <c r="Z74" s="1"/>
  <c r="U137"/>
  <c r="W137" s="1"/>
  <c r="Y61"/>
  <c r="AA61" s="1"/>
  <c r="AD61" s="1"/>
  <c r="V171"/>
  <c r="X171" s="1"/>
  <c r="V152"/>
  <c r="X152" s="1"/>
  <c r="Y20"/>
  <c r="AA20" s="1"/>
  <c r="AD20" s="1"/>
  <c r="AB41"/>
  <c r="AE41" s="1"/>
  <c r="S159"/>
  <c r="U159" s="1"/>
  <c r="U118"/>
  <c r="W118" s="1"/>
  <c r="Z76"/>
  <c r="AB76" s="1"/>
  <c r="AE76" s="1"/>
  <c r="Y163"/>
  <c r="AA163" s="1"/>
  <c r="AD163" s="1"/>
  <c r="X46"/>
  <c r="Z46" s="1"/>
  <c r="AA29"/>
  <c r="AD29" s="1"/>
  <c r="Z182"/>
  <c r="AB182" s="1"/>
  <c r="AE182" s="1"/>
  <c r="AB147"/>
  <c r="AE147" s="1"/>
  <c r="S128"/>
  <c r="U128" s="1"/>
  <c r="AB98"/>
  <c r="AE98" s="1"/>
  <c r="AA102"/>
  <c r="AD102" s="1"/>
  <c r="W35"/>
  <c r="Y35" s="1"/>
  <c r="Z121"/>
  <c r="AB121" s="1"/>
  <c r="AE121" s="1"/>
  <c r="V67"/>
  <c r="X67" s="1"/>
  <c r="Y42"/>
  <c r="AA42" s="1"/>
  <c r="AD42" s="1"/>
  <c r="U170"/>
  <c r="W170" s="1"/>
  <c r="X186"/>
  <c r="Z186" s="1"/>
  <c r="U100"/>
  <c r="W100" s="1"/>
  <c r="Y74"/>
  <c r="AA74" s="1"/>
  <c r="AD74" s="1"/>
  <c r="W164"/>
  <c r="Y164" s="1"/>
  <c r="X80"/>
  <c r="Z80" s="1"/>
  <c r="U162"/>
  <c r="W162" s="1"/>
  <c r="W52"/>
  <c r="Y52" s="1"/>
  <c r="V45"/>
  <c r="X45" s="1"/>
  <c r="X178"/>
  <c r="Z178" s="1"/>
  <c r="Y114"/>
  <c r="AA114" s="1"/>
  <c r="AD114" s="1"/>
  <c r="X83"/>
  <c r="Z83" s="1"/>
  <c r="U111"/>
  <c r="W111" s="1"/>
  <c r="V157"/>
  <c r="X157" s="1"/>
  <c r="Z15"/>
  <c r="AB15" s="1"/>
  <c r="AE15" s="1"/>
  <c r="W117"/>
  <c r="Y117" s="1"/>
  <c r="Y79"/>
  <c r="AA79" s="1"/>
  <c r="AD79" s="1"/>
  <c r="X108"/>
  <c r="Z108" s="1"/>
  <c r="X101"/>
  <c r="Z101" s="1"/>
  <c r="AB175"/>
  <c r="AE175" s="1"/>
  <c r="Y14"/>
  <c r="AA14" s="1"/>
  <c r="AD14" s="1"/>
  <c r="S124"/>
  <c r="U124" s="1"/>
  <c r="R13"/>
  <c r="V44"/>
  <c r="X44" s="1"/>
  <c r="AB32"/>
  <c r="AE32" s="1"/>
  <c r="AB20"/>
  <c r="AE20" s="1"/>
  <c r="W135"/>
  <c r="Y135" s="1"/>
  <c r="X87"/>
  <c r="Z87" s="1"/>
  <c r="X169"/>
  <c r="Z169" s="1"/>
  <c r="AA155"/>
  <c r="AD155" s="1"/>
  <c r="AA144"/>
  <c r="AD144" s="1"/>
  <c r="W183"/>
  <c r="Y183" s="1"/>
  <c r="V31"/>
  <c r="X31" s="1"/>
  <c r="U93"/>
  <c r="W93" s="1"/>
  <c r="W59"/>
  <c r="Y59" s="1"/>
  <c r="Y94"/>
  <c r="AA94" s="1"/>
  <c r="AD94" s="1"/>
  <c r="Z92"/>
  <c r="AB92" s="1"/>
  <c r="AE92" s="1"/>
  <c r="X86"/>
  <c r="Z86" s="1"/>
  <c r="Z39"/>
  <c r="AB39" s="1"/>
  <c r="AE39" s="1"/>
  <c r="Y141"/>
  <c r="AA141" s="1"/>
  <c r="AD141" s="1"/>
  <c r="Y28"/>
  <c r="AA28" s="1"/>
  <c r="AD28" s="1"/>
  <c r="W82"/>
  <c r="Y82" s="1"/>
  <c r="AA68"/>
  <c r="AD68" s="1"/>
  <c r="W166"/>
  <c r="Y166" s="1"/>
  <c r="X131"/>
  <c r="Z131" s="1"/>
  <c r="W113"/>
  <c r="Y113" s="1"/>
  <c r="W47"/>
  <c r="Y47" s="1"/>
  <c r="U90"/>
  <c r="W90" s="1"/>
  <c r="X122"/>
  <c r="Z122" s="1"/>
  <c r="W27"/>
  <c r="Y27" s="1"/>
  <c r="AA96"/>
  <c r="AD96" s="1"/>
  <c r="V120"/>
  <c r="X120" s="1"/>
  <c r="V53"/>
  <c r="X53" s="1"/>
  <c r="V84"/>
  <c r="X84" s="1"/>
  <c r="T50"/>
  <c r="V50" s="1"/>
  <c r="V119"/>
  <c r="X119" s="1"/>
  <c r="T16"/>
  <c r="V16" s="1"/>
  <c r="V167"/>
  <c r="X167" s="1"/>
  <c r="V146"/>
  <c r="X146" s="1"/>
  <c r="S73"/>
  <c r="U73" s="1"/>
  <c r="Z88" l="1"/>
  <c r="AB88" s="1"/>
  <c r="AE88" s="1"/>
  <c r="W62"/>
  <c r="Y62" s="1"/>
  <c r="S158"/>
  <c r="U158" s="1"/>
  <c r="X148"/>
  <c r="Z148" s="1"/>
  <c r="Z91"/>
  <c r="AB91" s="1"/>
  <c r="AE91" s="1"/>
  <c r="Z183"/>
  <c r="AB183" s="1"/>
  <c r="AE183" s="1"/>
  <c r="W119"/>
  <c r="Y119" s="1"/>
  <c r="V73"/>
  <c r="X73" s="1"/>
  <c r="X49"/>
  <c r="Z49" s="1"/>
  <c r="Z117"/>
  <c r="AB117" s="1"/>
  <c r="AE117" s="1"/>
  <c r="Z113"/>
  <c r="AB113" s="1"/>
  <c r="AE113" s="1"/>
  <c r="AB61"/>
  <c r="AE61" s="1"/>
  <c r="X107"/>
  <c r="Z107" s="1"/>
  <c r="Y172"/>
  <c r="AA172" s="1"/>
  <c r="AD172" s="1"/>
  <c r="W44"/>
  <c r="Y44" s="1"/>
  <c r="W120"/>
  <c r="Y120" s="1"/>
  <c r="V159"/>
  <c r="X159" s="1"/>
  <c r="U132"/>
  <c r="W132" s="1"/>
  <c r="W171"/>
  <c r="Y171" s="1"/>
  <c r="U150"/>
  <c r="W150" s="1"/>
  <c r="V30"/>
  <c r="X30" s="1"/>
  <c r="V115"/>
  <c r="U115"/>
  <c r="W115" s="1"/>
  <c r="Y64"/>
  <c r="AA64" s="1"/>
  <c r="AD64" s="1"/>
  <c r="Y55"/>
  <c r="AB55" s="1"/>
  <c r="AE55" s="1"/>
  <c r="AB99"/>
  <c r="AE99" s="1"/>
  <c r="U153"/>
  <c r="W153" s="1"/>
  <c r="AB141"/>
  <c r="AE141" s="1"/>
  <c r="X112"/>
  <c r="Z112" s="1"/>
  <c r="AA51"/>
  <c r="AD51" s="1"/>
  <c r="Y122"/>
  <c r="AA122" s="1"/>
  <c r="AD122" s="1"/>
  <c r="AB64"/>
  <c r="AE64" s="1"/>
  <c r="U156"/>
  <c r="V156"/>
  <c r="X156" s="1"/>
  <c r="Y107"/>
  <c r="AA107" s="1"/>
  <c r="AD107" s="1"/>
  <c r="W23"/>
  <c r="V158"/>
  <c r="W97"/>
  <c r="Y97" s="1"/>
  <c r="Y40"/>
  <c r="V62"/>
  <c r="X62" s="1"/>
  <c r="Z60"/>
  <c r="AB60" s="1"/>
  <c r="AE60" s="1"/>
  <c r="AA113"/>
  <c r="AD113" s="1"/>
  <c r="X192"/>
  <c r="Z192" s="1"/>
  <c r="W185"/>
  <c r="Y185" s="1"/>
  <c r="T13"/>
  <c r="AB14"/>
  <c r="AE14" s="1"/>
  <c r="AB94"/>
  <c r="AE94" s="1"/>
  <c r="X111"/>
  <c r="Z111" s="1"/>
  <c r="U33"/>
  <c r="W33" s="1"/>
  <c r="Y145"/>
  <c r="AA145" s="1"/>
  <c r="AD145" s="1"/>
  <c r="AA180"/>
  <c r="AD180" s="1"/>
  <c r="X162"/>
  <c r="Z162" s="1"/>
  <c r="Y174"/>
  <c r="AA174" s="1"/>
  <c r="AD174" s="1"/>
  <c r="W159"/>
  <c r="Y159" s="1"/>
  <c r="AB74"/>
  <c r="AE74" s="1"/>
  <c r="AA39"/>
  <c r="AD39" s="1"/>
  <c r="W30"/>
  <c r="Y30" s="1"/>
  <c r="Y112"/>
  <c r="AA112" s="1"/>
  <c r="AD112" s="1"/>
  <c r="Y186"/>
  <c r="AA186" s="1"/>
  <c r="AD186" s="1"/>
  <c r="W125"/>
  <c r="Y125" s="1"/>
  <c r="Z59"/>
  <c r="AB59" s="1"/>
  <c r="AE59" s="1"/>
  <c r="AB28"/>
  <c r="AE28" s="1"/>
  <c r="X90"/>
  <c r="Z90" s="1"/>
  <c r="Z21"/>
  <c r="AB21" s="1"/>
  <c r="AE21" s="1"/>
  <c r="Z63"/>
  <c r="AB63" s="1"/>
  <c r="AE63" s="1"/>
  <c r="Z47"/>
  <c r="AB47" s="1"/>
  <c r="AE47" s="1"/>
  <c r="U16"/>
  <c r="W16" s="1"/>
  <c r="W129"/>
  <c r="Y129" s="1"/>
  <c r="AB42"/>
  <c r="AE42" s="1"/>
  <c r="Z35"/>
  <c r="AB35" s="1"/>
  <c r="AE35" s="1"/>
  <c r="X93"/>
  <c r="Z93" s="1"/>
  <c r="AA143"/>
  <c r="AD143" s="1"/>
  <c r="Z166"/>
  <c r="AB166" s="1"/>
  <c r="AE166" s="1"/>
  <c r="AA15"/>
  <c r="AD15" s="1"/>
  <c r="X188"/>
  <c r="Z188" s="1"/>
  <c r="V128"/>
  <c r="X128" s="1"/>
  <c r="Y190"/>
  <c r="AA190" s="1"/>
  <c r="AD190" s="1"/>
  <c r="Z135"/>
  <c r="AB135" s="1"/>
  <c r="AE135" s="1"/>
  <c r="Z173"/>
  <c r="AB173" s="1"/>
  <c r="AE173" s="1"/>
  <c r="Y87"/>
  <c r="AA87" s="1"/>
  <c r="AD87" s="1"/>
  <c r="Z54"/>
  <c r="AB54" s="1"/>
  <c r="AE54" s="1"/>
  <c r="V105"/>
  <c r="X105" s="1"/>
  <c r="AA76"/>
  <c r="AD76" s="1"/>
  <c r="W60"/>
  <c r="Y60" s="1"/>
  <c r="AA92"/>
  <c r="AD92" s="1"/>
  <c r="Y70"/>
  <c r="AA70" s="1"/>
  <c r="AD70" s="1"/>
  <c r="W154"/>
  <c r="Y154" s="1"/>
  <c r="AB112"/>
  <c r="AE112" s="1"/>
  <c r="X176"/>
  <c r="Z176" s="1"/>
  <c r="AB85"/>
  <c r="AE85" s="1"/>
  <c r="X16"/>
  <c r="Z16" s="1"/>
  <c r="AB122"/>
  <c r="AE122" s="1"/>
  <c r="AA183"/>
  <c r="AD183" s="1"/>
  <c r="AB87"/>
  <c r="AE87" s="1"/>
  <c r="Z44"/>
  <c r="AB44" s="1"/>
  <c r="AE44" s="1"/>
  <c r="AA117"/>
  <c r="AD117" s="1"/>
  <c r="Z82"/>
  <c r="AB82" s="1"/>
  <c r="AE82" s="1"/>
  <c r="Z27"/>
  <c r="AB27" s="1"/>
  <c r="AE27" s="1"/>
  <c r="Y131"/>
  <c r="AA131" s="1"/>
  <c r="AD131" s="1"/>
  <c r="U50"/>
  <c r="W50" s="1"/>
  <c r="Y83"/>
  <c r="AA83" s="1"/>
  <c r="AD83" s="1"/>
  <c r="Z171"/>
  <c r="AB171" s="1"/>
  <c r="AE171" s="1"/>
  <c r="X132"/>
  <c r="Z132" s="1"/>
  <c r="W152"/>
  <c r="Y152" s="1"/>
  <c r="AB163"/>
  <c r="AE163" s="1"/>
  <c r="Y86"/>
  <c r="AA86" s="1"/>
  <c r="AD86" s="1"/>
  <c r="Y169"/>
  <c r="AA169" s="1"/>
  <c r="AD169" s="1"/>
  <c r="U71"/>
  <c r="W71" s="1"/>
  <c r="AA187"/>
  <c r="AD187" s="1"/>
  <c r="Y75"/>
  <c r="AA75" s="1"/>
  <c r="AD75" s="1"/>
  <c r="Y110"/>
  <c r="AA110" s="1"/>
  <c r="AD110" s="1"/>
  <c r="W157"/>
  <c r="Y157" s="1"/>
  <c r="W167"/>
  <c r="Y167" s="1"/>
  <c r="AB56"/>
  <c r="AE56" s="1"/>
  <c r="V189"/>
  <c r="X189" s="1"/>
  <c r="X137"/>
  <c r="Z137" s="1"/>
  <c r="Y168"/>
  <c r="AA168" s="1"/>
  <c r="AD168" s="1"/>
  <c r="AA130"/>
  <c r="AD130" s="1"/>
  <c r="X170"/>
  <c r="Z170" s="1"/>
  <c r="X66"/>
  <c r="Z66" s="1"/>
  <c r="X116"/>
  <c r="Z116" s="1"/>
  <c r="X150"/>
  <c r="Z150" s="1"/>
  <c r="AB95"/>
  <c r="AE95" s="1"/>
  <c r="Y178"/>
  <c r="AA178" s="1"/>
  <c r="AD178" s="1"/>
  <c r="X100"/>
  <c r="Z100" s="1"/>
  <c r="AA43"/>
  <c r="AD43" s="1"/>
  <c r="Y139"/>
  <c r="AA139" s="1"/>
  <c r="AD139" s="1"/>
  <c r="Y134"/>
  <c r="AA134" s="1"/>
  <c r="AD134" s="1"/>
  <c r="Y184"/>
  <c r="AA184" s="1"/>
  <c r="AD184" s="1"/>
  <c r="X89"/>
  <c r="Z89" s="1"/>
  <c r="Y101"/>
  <c r="AA101" s="1"/>
  <c r="AD101" s="1"/>
  <c r="Y126"/>
  <c r="AA126" s="1"/>
  <c r="AD126" s="1"/>
  <c r="AB81"/>
  <c r="AE81" s="1"/>
  <c r="Y142"/>
  <c r="AA142" s="1"/>
  <c r="AD142" s="1"/>
  <c r="Z37"/>
  <c r="AB37" s="1"/>
  <c r="AE37" s="1"/>
  <c r="X17"/>
  <c r="Z17" s="1"/>
  <c r="AA47"/>
  <c r="AD47" s="1"/>
  <c r="AB186"/>
  <c r="AE186" s="1"/>
  <c r="AB174"/>
  <c r="AE174" s="1"/>
  <c r="X118"/>
  <c r="Z118" s="1"/>
  <c r="Y18"/>
  <c r="AA18" s="1"/>
  <c r="AD18" s="1"/>
  <c r="AA171"/>
  <c r="AD171" s="1"/>
  <c r="Z133"/>
  <c r="AB133" s="1"/>
  <c r="AE133" s="1"/>
  <c r="S13"/>
  <c r="AB145"/>
  <c r="AE145" s="1"/>
  <c r="W73"/>
  <c r="Y73" s="1"/>
  <c r="Z119"/>
  <c r="AB119" s="1"/>
  <c r="AE119" s="1"/>
  <c r="Z120"/>
  <c r="AB120" s="1"/>
  <c r="AE120" s="1"/>
  <c r="Y90"/>
  <c r="AA90" s="1"/>
  <c r="AD90" s="1"/>
  <c r="AA166"/>
  <c r="AD166" s="1"/>
  <c r="W146"/>
  <c r="Y146" s="1"/>
  <c r="AA55"/>
  <c r="AD55" s="1"/>
  <c r="AB101"/>
  <c r="AE101" s="1"/>
  <c r="W106"/>
  <c r="Y106" s="1"/>
  <c r="V124"/>
  <c r="X124" s="1"/>
  <c r="Z179"/>
  <c r="AB179" s="1"/>
  <c r="AE179" s="1"/>
  <c r="Z52"/>
  <c r="AB52" s="1"/>
  <c r="AE52" s="1"/>
  <c r="W45"/>
  <c r="Y45" s="1"/>
  <c r="W53"/>
  <c r="Y53" s="1"/>
  <c r="AB79"/>
  <c r="AE79" s="1"/>
  <c r="AB139"/>
  <c r="AE139" s="1"/>
  <c r="AA88"/>
  <c r="AD88" s="1"/>
  <c r="Z125"/>
  <c r="AB125" s="1"/>
  <c r="AE125" s="1"/>
  <c r="W84"/>
  <c r="Y84" s="1"/>
  <c r="Y149"/>
  <c r="AA149" s="1"/>
  <c r="AD149" s="1"/>
  <c r="Y46"/>
  <c r="AA46" s="1"/>
  <c r="AD46" s="1"/>
  <c r="AA140"/>
  <c r="AD140" s="1"/>
  <c r="AA121"/>
  <c r="AD121" s="1"/>
  <c r="W67"/>
  <c r="Y67" s="1"/>
  <c r="X48"/>
  <c r="Z48" s="1"/>
  <c r="Y17"/>
  <c r="AA17" s="1"/>
  <c r="AD17" s="1"/>
  <c r="Z181"/>
  <c r="AB181" s="1"/>
  <c r="AE181" s="1"/>
  <c r="AB114"/>
  <c r="AE114" s="1"/>
  <c r="Z127"/>
  <c r="AB127" s="1"/>
  <c r="AE127" s="1"/>
  <c r="Z164"/>
  <c r="AB164" s="1"/>
  <c r="AE164" s="1"/>
  <c r="Y49"/>
  <c r="AA49" s="1"/>
  <c r="AD49" s="1"/>
  <c r="Y66"/>
  <c r="AA66" s="1"/>
  <c r="AD66" s="1"/>
  <c r="Z104"/>
  <c r="AB104" s="1"/>
  <c r="AE104" s="1"/>
  <c r="Z77"/>
  <c r="AB77" s="1"/>
  <c r="AE77" s="1"/>
  <c r="AA182"/>
  <c r="AD182" s="1"/>
  <c r="Y25"/>
  <c r="AA25" s="1"/>
  <c r="AD25" s="1"/>
  <c r="Y80"/>
  <c r="AA80" s="1"/>
  <c r="AD80" s="1"/>
  <c r="AB184"/>
  <c r="AE184" s="1"/>
  <c r="Z160"/>
  <c r="AB160" s="1"/>
  <c r="AE160" s="1"/>
  <c r="AA109"/>
  <c r="AD109" s="1"/>
  <c r="AA161"/>
  <c r="AD161" s="1"/>
  <c r="X38"/>
  <c r="Z38" s="1"/>
  <c r="X158"/>
  <c r="Z78"/>
  <c r="AB78" s="1"/>
  <c r="AE78" s="1"/>
  <c r="Z138"/>
  <c r="AB138" s="1"/>
  <c r="AE138" s="1"/>
  <c r="W136"/>
  <c r="Y136" s="1"/>
  <c r="U34"/>
  <c r="W34" s="1"/>
  <c r="Y108"/>
  <c r="AA108" s="1"/>
  <c r="AD108" s="1"/>
  <c r="W31"/>
  <c r="Y31" s="1"/>
  <c r="Y103"/>
  <c r="AA103" s="1"/>
  <c r="AD103" s="1"/>
  <c r="AA127" l="1"/>
  <c r="AD127" s="1"/>
  <c r="AB80"/>
  <c r="AE80" s="1"/>
  <c r="Z156"/>
  <c r="AB156" s="1"/>
  <c r="AE156" s="1"/>
  <c r="W189"/>
  <c r="Y189" s="1"/>
  <c r="AA120"/>
  <c r="AD120" s="1"/>
  <c r="Z159"/>
  <c r="AB159" s="1"/>
  <c r="AE159" s="1"/>
  <c r="AA35"/>
  <c r="AD35" s="1"/>
  <c r="W156"/>
  <c r="Y156" s="1"/>
  <c r="AA91"/>
  <c r="AD91" s="1"/>
  <c r="X115"/>
  <c r="X153"/>
  <c r="Z153" s="1"/>
  <c r="AA52"/>
  <c r="AD52" s="1"/>
  <c r="Y188"/>
  <c r="AA188" s="1"/>
  <c r="AD188" s="1"/>
  <c r="Y93"/>
  <c r="AA93" s="1"/>
  <c r="AD93" s="1"/>
  <c r="AA59"/>
  <c r="AD59" s="1"/>
  <c r="AB168"/>
  <c r="AE168" s="1"/>
  <c r="Z30"/>
  <c r="AB30" s="1"/>
  <c r="AE30" s="1"/>
  <c r="Z62"/>
  <c r="AB62" s="1"/>
  <c r="AE62" s="1"/>
  <c r="Y23"/>
  <c r="Z23"/>
  <c r="AB23" s="1"/>
  <c r="AE23" s="1"/>
  <c r="AB107"/>
  <c r="AE107" s="1"/>
  <c r="W158"/>
  <c r="Y158" s="1"/>
  <c r="Z97"/>
  <c r="AB97" s="1"/>
  <c r="AE97" s="1"/>
  <c r="AB46"/>
  <c r="AE46" s="1"/>
  <c r="Z73"/>
  <c r="AB73" s="1"/>
  <c r="AE73" s="1"/>
  <c r="AB70"/>
  <c r="AE70" s="1"/>
  <c r="W105"/>
  <c r="Y105" s="1"/>
  <c r="Y192"/>
  <c r="AA192" s="1"/>
  <c r="AD192" s="1"/>
  <c r="AA40"/>
  <c r="AD40" s="1"/>
  <c r="AB40"/>
  <c r="AE40" s="1"/>
  <c r="Y153"/>
  <c r="AA153" s="1"/>
  <c r="AD153" s="1"/>
  <c r="AB172"/>
  <c r="AE172" s="1"/>
  <c r="Y148"/>
  <c r="AA148" s="1"/>
  <c r="AD148" s="1"/>
  <c r="Z136"/>
  <c r="AB136" s="1"/>
  <c r="AE136" s="1"/>
  <c r="Y116"/>
  <c r="AA116" s="1"/>
  <c r="AD116" s="1"/>
  <c r="AB93"/>
  <c r="AE93" s="1"/>
  <c r="AB134"/>
  <c r="AE134" s="1"/>
  <c r="AA77"/>
  <c r="AD77" s="1"/>
  <c r="AB149"/>
  <c r="AE149" s="1"/>
  <c r="Y100"/>
  <c r="AA100" s="1"/>
  <c r="AD100" s="1"/>
  <c r="AA135"/>
  <c r="AD135" s="1"/>
  <c r="U13"/>
  <c r="AA179"/>
  <c r="AD179" s="1"/>
  <c r="Y137"/>
  <c r="AA137" s="1"/>
  <c r="AD137" s="1"/>
  <c r="AB66"/>
  <c r="AE66" s="1"/>
  <c r="Z189"/>
  <c r="AB189" s="1"/>
  <c r="AE189" s="1"/>
  <c r="X34"/>
  <c r="Z34" s="1"/>
  <c r="Y50"/>
  <c r="AA50" s="1"/>
  <c r="AD50" s="1"/>
  <c r="AB131"/>
  <c r="AE131" s="1"/>
  <c r="AB110"/>
  <c r="AE110" s="1"/>
  <c r="AB49"/>
  <c r="AE49" s="1"/>
  <c r="AA133"/>
  <c r="AD133" s="1"/>
  <c r="Z67"/>
  <c r="AB67" s="1"/>
  <c r="AE67" s="1"/>
  <c r="X50"/>
  <c r="Z50" s="1"/>
  <c r="AA60"/>
  <c r="AD60" s="1"/>
  <c r="AB190"/>
  <c r="AE190" s="1"/>
  <c r="Y16"/>
  <c r="AA16" s="1"/>
  <c r="AD16" s="1"/>
  <c r="Y132"/>
  <c r="AA132" s="1"/>
  <c r="AD132" s="1"/>
  <c r="AB25"/>
  <c r="AE25" s="1"/>
  <c r="Y162"/>
  <c r="AA162" s="1"/>
  <c r="AD162" s="1"/>
  <c r="V13"/>
  <c r="AB192"/>
  <c r="AE192" s="1"/>
  <c r="AA27"/>
  <c r="AD27" s="1"/>
  <c r="X33"/>
  <c r="Z33" s="1"/>
  <c r="X71"/>
  <c r="Z71" s="1"/>
  <c r="Z106"/>
  <c r="AB106" s="1"/>
  <c r="AE106" s="1"/>
  <c r="AA44"/>
  <c r="AD44" s="1"/>
  <c r="Z129"/>
  <c r="AB129" s="1"/>
  <c r="AE129" s="1"/>
  <c r="Z31"/>
  <c r="AB31" s="1"/>
  <c r="AE31" s="1"/>
  <c r="Z146"/>
  <c r="AB146" s="1"/>
  <c r="AE146" s="1"/>
  <c r="Y89"/>
  <c r="AA89" s="1"/>
  <c r="AD89" s="1"/>
  <c r="AB83"/>
  <c r="AE83" s="1"/>
  <c r="Y150"/>
  <c r="AA150" s="1"/>
  <c r="AD150" s="1"/>
  <c r="AA104"/>
  <c r="AD104" s="1"/>
  <c r="Y111"/>
  <c r="AA111" s="1"/>
  <c r="AD111" s="1"/>
  <c r="AB90"/>
  <c r="AE90" s="1"/>
  <c r="AA37"/>
  <c r="AD37" s="1"/>
  <c r="AB75"/>
  <c r="AE75" s="1"/>
  <c r="AA30"/>
  <c r="AD30" s="1"/>
  <c r="W128"/>
  <c r="Y128" s="1"/>
  <c r="Y170"/>
  <c r="AA170" s="1"/>
  <c r="AD170" s="1"/>
  <c r="Z45"/>
  <c r="AB45" s="1"/>
  <c r="AE45" s="1"/>
  <c r="AB86"/>
  <c r="AE86" s="1"/>
  <c r="Z84"/>
  <c r="AB84" s="1"/>
  <c r="AE84" s="1"/>
  <c r="AA54"/>
  <c r="AD54" s="1"/>
  <c r="AB18"/>
  <c r="AE18" s="1"/>
  <c r="AA173"/>
  <c r="AD173" s="1"/>
  <c r="AB178"/>
  <c r="AE178" s="1"/>
  <c r="AB38"/>
  <c r="AE38" s="1"/>
  <c r="AB100"/>
  <c r="AE100" s="1"/>
  <c r="AA167"/>
  <c r="AD167" s="1"/>
  <c r="AA159"/>
  <c r="AD159" s="1"/>
  <c r="AA160"/>
  <c r="AD160" s="1"/>
  <c r="AA189"/>
  <c r="AD189" s="1"/>
  <c r="Y48"/>
  <c r="AA48" s="1"/>
  <c r="AD48" s="1"/>
  <c r="AA164"/>
  <c r="AD164" s="1"/>
  <c r="AA73"/>
  <c r="AD73" s="1"/>
  <c r="Y176"/>
  <c r="AA176" s="1"/>
  <c r="AD176" s="1"/>
  <c r="Z185"/>
  <c r="AB185" s="1"/>
  <c r="AE185" s="1"/>
  <c r="AA119"/>
  <c r="AD119" s="1"/>
  <c r="AB17"/>
  <c r="AE17" s="1"/>
  <c r="AA78"/>
  <c r="AD78" s="1"/>
  <c r="AB150"/>
  <c r="AE150" s="1"/>
  <c r="AA181"/>
  <c r="AD181" s="1"/>
  <c r="Y38"/>
  <c r="AA38" s="1"/>
  <c r="AD38" s="1"/>
  <c r="Z157"/>
  <c r="AB157" s="1"/>
  <c r="AE157" s="1"/>
  <c r="Z53"/>
  <c r="AB53" s="1"/>
  <c r="AE53" s="1"/>
  <c r="AA63"/>
  <c r="AD63" s="1"/>
  <c r="AB103"/>
  <c r="AE103" s="1"/>
  <c r="AB108"/>
  <c r="AE108" s="1"/>
  <c r="Z105"/>
  <c r="AB105" s="1"/>
  <c r="AE105" s="1"/>
  <c r="AB188"/>
  <c r="AE188" s="1"/>
  <c r="AB142"/>
  <c r="AE142" s="1"/>
  <c r="AA125"/>
  <c r="AD125" s="1"/>
  <c r="AA21"/>
  <c r="AD21" s="1"/>
  <c r="AA138"/>
  <c r="AD138" s="1"/>
  <c r="Z152"/>
  <c r="AB152" s="1"/>
  <c r="AE152" s="1"/>
  <c r="Y33"/>
  <c r="AA33" s="1"/>
  <c r="AD33" s="1"/>
  <c r="AB169"/>
  <c r="AE169" s="1"/>
  <c r="AA82"/>
  <c r="AD82" s="1"/>
  <c r="Z167"/>
  <c r="AB167" s="1"/>
  <c r="AE167" s="1"/>
  <c r="Z154"/>
  <c r="AB154" s="1"/>
  <c r="AE154" s="1"/>
  <c r="AB126"/>
  <c r="AE126" s="1"/>
  <c r="Y118"/>
  <c r="AA118" s="1"/>
  <c r="AD118" s="1"/>
  <c r="W124"/>
  <c r="Y124" s="1"/>
  <c r="Z115" l="1"/>
  <c r="Y115"/>
  <c r="AA115" s="1"/>
  <c r="AD115" s="1"/>
  <c r="AB176"/>
  <c r="AE176" s="1"/>
  <c r="AB89"/>
  <c r="AE89" s="1"/>
  <c r="AB137"/>
  <c r="AE137" s="1"/>
  <c r="AA157"/>
  <c r="AD157" s="1"/>
  <c r="AA106"/>
  <c r="AD106" s="1"/>
  <c r="AB116"/>
  <c r="AE116" s="1"/>
  <c r="AA23"/>
  <c r="AD23" s="1"/>
  <c r="Z158"/>
  <c r="AB158" s="1"/>
  <c r="AE158" s="1"/>
  <c r="AA97"/>
  <c r="AD97" s="1"/>
  <c r="AA31"/>
  <c r="AD31" s="1"/>
  <c r="AB111"/>
  <c r="AE111" s="1"/>
  <c r="AA158"/>
  <c r="AD158" s="1"/>
  <c r="AB153"/>
  <c r="AE153" s="1"/>
  <c r="AA156"/>
  <c r="AD156" s="1"/>
  <c r="Y34"/>
  <c r="AA34" s="1"/>
  <c r="AD34" s="1"/>
  <c r="AA154"/>
  <c r="AD154" s="1"/>
  <c r="AB148"/>
  <c r="AE148" s="1"/>
  <c r="AA62"/>
  <c r="AD62" s="1"/>
  <c r="AA185"/>
  <c r="AD185" s="1"/>
  <c r="AB132"/>
  <c r="AE132" s="1"/>
  <c r="W13"/>
  <c r="AA67"/>
  <c r="AD67" s="1"/>
  <c r="AB118"/>
  <c r="AE118" s="1"/>
  <c r="AA129"/>
  <c r="AD129" s="1"/>
  <c r="AA146"/>
  <c r="AD146" s="1"/>
  <c r="Z128"/>
  <c r="AB128" s="1"/>
  <c r="AE128" s="1"/>
  <c r="Z124"/>
  <c r="AB124" s="1"/>
  <c r="AE124" s="1"/>
  <c r="X13"/>
  <c r="AB50"/>
  <c r="AE50" s="1"/>
  <c r="AB34"/>
  <c r="AE34" s="1"/>
  <c r="AA53"/>
  <c r="AD53" s="1"/>
  <c r="AB16"/>
  <c r="AE16" s="1"/>
  <c r="AB48"/>
  <c r="AE48" s="1"/>
  <c r="AA152"/>
  <c r="AD152" s="1"/>
  <c r="AA84"/>
  <c r="AD84" s="1"/>
  <c r="AB162"/>
  <c r="AE162" s="1"/>
  <c r="AB170"/>
  <c r="AE170" s="1"/>
  <c r="AA105"/>
  <c r="AD105" s="1"/>
  <c r="AA45"/>
  <c r="AD45" s="1"/>
  <c r="AB33"/>
  <c r="AE33" s="1"/>
  <c r="Y71"/>
  <c r="AA71" s="1"/>
  <c r="AD71" s="1"/>
  <c r="AA136"/>
  <c r="AD136" s="1"/>
  <c r="AB115" l="1"/>
  <c r="AE115" s="1"/>
  <c r="AB71"/>
  <c r="AE71" s="1"/>
  <c r="AA124"/>
  <c r="AD124" s="1"/>
  <c r="Z13"/>
  <c r="Y13"/>
  <c r="AA128"/>
  <c r="AD128" s="1"/>
  <c r="AA13" l="1"/>
  <c r="AB13"/>
  <c r="AD13" l="1"/>
  <c r="AE13"/>
  <c r="F57"/>
  <c r="F37" i="36"/>
  <c r="G22" i="37"/>
  <c r="I22"/>
  <c r="K22"/>
  <c r="L22"/>
  <c r="N22"/>
  <c r="P22"/>
  <c r="Q22"/>
  <c r="R22" s="1"/>
  <c r="F34"/>
  <c r="G32"/>
  <c r="G34"/>
  <c r="I32"/>
  <c r="K32"/>
  <c r="J34"/>
  <c r="K34"/>
  <c r="M32"/>
  <c r="L34"/>
  <c r="M34"/>
  <c r="P34"/>
  <c r="G46"/>
  <c r="I46"/>
  <c r="J46"/>
  <c r="G26" i="31"/>
  <c r="M46" i="37"/>
  <c r="O46"/>
  <c r="Q46"/>
  <c r="F32"/>
  <c r="H32"/>
  <c r="F40" l="1"/>
  <c r="F42" s="1"/>
  <c r="N32"/>
  <c r="I26" i="31"/>
  <c r="F38" i="36"/>
  <c r="F35" s="1"/>
  <c r="F48" s="1"/>
  <c r="F95" s="1"/>
  <c r="F38" i="35"/>
  <c r="F38" i="32"/>
  <c r="E58" i="29"/>
  <c r="F58"/>
  <c r="H58" s="1"/>
  <c r="E26" i="31"/>
  <c r="D20"/>
  <c r="P32" i="37"/>
  <c r="M22" i="33"/>
  <c r="M22" i="37"/>
  <c r="O22" i="33"/>
  <c r="O22" i="37"/>
  <c r="L40" i="33"/>
  <c r="L42" s="1"/>
  <c r="L40" i="37"/>
  <c r="L42" s="1"/>
  <c r="N40"/>
  <c r="N42" s="1"/>
  <c r="K46" i="33"/>
  <c r="K46" i="37"/>
  <c r="M40" i="33"/>
  <c r="M42" s="1"/>
  <c r="M40" i="37"/>
  <c r="M42" s="1"/>
  <c r="N34" i="33"/>
  <c r="N34" i="37"/>
  <c r="J32" i="33"/>
  <c r="J32" i="37"/>
  <c r="I40" i="33"/>
  <c r="I42" s="1"/>
  <c r="I40" i="37"/>
  <c r="I42" s="1"/>
  <c r="N26" i="31"/>
  <c r="N46" i="33"/>
  <c r="N46" i="37"/>
  <c r="L32" i="33"/>
  <c r="L32" i="37"/>
  <c r="K40" i="33"/>
  <c r="K42" s="1"/>
  <c r="K40" i="37"/>
  <c r="K42" s="1"/>
  <c r="J22" i="33"/>
  <c r="J22" i="37"/>
  <c r="H22" i="33"/>
  <c r="H22" i="37"/>
  <c r="F22" i="33"/>
  <c r="F22" i="37"/>
  <c r="F46" i="33"/>
  <c r="F46" i="37"/>
  <c r="Q32"/>
  <c r="O34" i="33"/>
  <c r="O34" i="37"/>
  <c r="I34" i="33"/>
  <c r="I34" i="37"/>
  <c r="F13" i="33"/>
  <c r="F13" i="37"/>
  <c r="P46" i="33"/>
  <c r="P46" i="37"/>
  <c r="L46" i="33"/>
  <c r="L46" i="37"/>
  <c r="H40"/>
  <c r="H42" s="1"/>
  <c r="O40" i="33"/>
  <c r="O42" s="1"/>
  <c r="O40" i="37"/>
  <c r="O42" s="1"/>
  <c r="G40" i="33"/>
  <c r="G42" s="1"/>
  <c r="G40" i="37"/>
  <c r="G42" s="1"/>
  <c r="H46" i="33"/>
  <c r="H46" i="37"/>
  <c r="J40"/>
  <c r="J42" s="1"/>
  <c r="H34" i="33"/>
  <c r="H34" i="37"/>
  <c r="F14" i="33"/>
  <c r="F14" i="37"/>
  <c r="G33"/>
  <c r="G36" s="1"/>
  <c r="E57" i="29"/>
  <c r="G57" s="1"/>
  <c r="I14" i="37"/>
  <c r="O12"/>
  <c r="F11" i="31"/>
  <c r="F14" s="1"/>
  <c r="N11"/>
  <c r="N14" s="1"/>
  <c r="H11"/>
  <c r="H14" s="1"/>
  <c r="G37" i="35"/>
  <c r="G37" i="32"/>
  <c r="N12" i="37"/>
  <c r="D19" i="31"/>
  <c r="K18"/>
  <c r="M14" i="33"/>
  <c r="L14" i="37"/>
  <c r="L12"/>
  <c r="K12"/>
  <c r="G12"/>
  <c r="F37" i="35"/>
  <c r="F35" s="1"/>
  <c r="F37" i="32"/>
  <c r="F35" s="1"/>
  <c r="G22" i="33"/>
  <c r="F34"/>
  <c r="P12" i="37"/>
  <c r="H33"/>
  <c r="H36" s="1"/>
  <c r="M18" i="31"/>
  <c r="G14" i="37"/>
  <c r="F33"/>
  <c r="F36" s="1"/>
  <c r="F44" s="1"/>
  <c r="H18" i="31"/>
  <c r="F24" i="29"/>
  <c r="I19" i="31"/>
  <c r="K20"/>
  <c r="L19"/>
  <c r="E18"/>
  <c r="F12" i="33"/>
  <c r="M11" i="31"/>
  <c r="M14" s="1"/>
  <c r="K11"/>
  <c r="K14" s="1"/>
  <c r="L26"/>
  <c r="M26"/>
  <c r="F40" i="33"/>
  <c r="F42" s="1"/>
  <c r="K32"/>
  <c r="H40"/>
  <c r="H42" s="1"/>
  <c r="G21" i="37"/>
  <c r="G24" s="1"/>
  <c r="D11" i="31"/>
  <c r="D14" s="1"/>
  <c r="L14" i="33"/>
  <c r="N21" i="37"/>
  <c r="N24" s="1"/>
  <c r="F20" i="31"/>
  <c r="P40" i="37"/>
  <c r="P42" s="1"/>
  <c r="M19" i="31"/>
  <c r="M33" i="33"/>
  <c r="G20" i="31"/>
  <c r="J40" i="33"/>
  <c r="J42" s="1"/>
  <c r="N14" i="37"/>
  <c r="L18" i="31"/>
  <c r="Q22" i="33"/>
  <c r="R22" s="1"/>
  <c r="P22"/>
  <c r="H19" i="31"/>
  <c r="P14" i="37"/>
  <c r="K21"/>
  <c r="K24" s="1"/>
  <c r="K14"/>
  <c r="I12"/>
  <c r="O14"/>
  <c r="N12" i="33"/>
  <c r="J26" i="31"/>
  <c r="F26"/>
  <c r="O46" i="33"/>
  <c r="Q12"/>
  <c r="K12"/>
  <c r="F19" i="31"/>
  <c r="G33" i="33"/>
  <c r="E19" i="31"/>
  <c r="H20"/>
  <c r="D26"/>
  <c r="F32" i="33"/>
  <c r="M46"/>
  <c r="J46"/>
  <c r="I46"/>
  <c r="K34"/>
  <c r="K14"/>
  <c r="J33" i="37"/>
  <c r="J21"/>
  <c r="O26" i="31"/>
  <c r="P26" s="1"/>
  <c r="G26" i="35"/>
  <c r="G23" s="1"/>
  <c r="G26" i="32"/>
  <c r="G23" s="1"/>
  <c r="L22" i="33"/>
  <c r="I22"/>
  <c r="F18" i="31"/>
  <c r="Q40" i="33"/>
  <c r="N14"/>
  <c r="P32"/>
  <c r="G11" i="31"/>
  <c r="G14" s="1"/>
  <c r="G18"/>
  <c r="Q32" i="33"/>
  <c r="M32"/>
  <c r="I32"/>
  <c r="N40"/>
  <c r="N42" s="1"/>
  <c r="K26" i="31"/>
  <c r="H26"/>
  <c r="M21" i="37"/>
  <c r="M24" s="1"/>
  <c r="N32" i="33"/>
  <c r="P34"/>
  <c r="M34"/>
  <c r="J34"/>
  <c r="G34"/>
  <c r="Q46"/>
  <c r="G46"/>
  <c r="Q34" i="37"/>
  <c r="N22" i="33"/>
  <c r="G32"/>
  <c r="H32"/>
  <c r="L34"/>
  <c r="K22"/>
  <c r="F26" i="35"/>
  <c r="F23" s="1"/>
  <c r="F26" i="32"/>
  <c r="F23" s="1"/>
  <c r="F48" s="1"/>
  <c r="F95" s="1"/>
  <c r="E24" i="29"/>
  <c r="E194" s="1"/>
  <c r="F194"/>
  <c r="P40" i="33" l="1"/>
  <c r="P42" s="1"/>
  <c r="G12"/>
  <c r="N20" i="31"/>
  <c r="H33" i="33"/>
  <c r="K19" i="31"/>
  <c r="K22" s="1"/>
  <c r="G58" i="29"/>
  <c r="I58" s="1"/>
  <c r="G14" i="33"/>
  <c r="I14"/>
  <c r="O12"/>
  <c r="P12"/>
  <c r="L12"/>
  <c r="O21" i="37"/>
  <c r="O24" s="1"/>
  <c r="O11" i="31"/>
  <c r="Q40" i="37"/>
  <c r="J12" i="33"/>
  <c r="J12" i="37"/>
  <c r="H14" i="33"/>
  <c r="H14" i="37"/>
  <c r="M14"/>
  <c r="K33" i="33"/>
  <c r="K33" i="37"/>
  <c r="K36" s="1"/>
  <c r="N33" i="33"/>
  <c r="N33" i="37"/>
  <c r="N36" s="1"/>
  <c r="N44" s="1"/>
  <c r="N48" s="1"/>
  <c r="P33" i="33"/>
  <c r="P33" i="37"/>
  <c r="P36" s="1"/>
  <c r="J24"/>
  <c r="J36"/>
  <c r="O14" i="33"/>
  <c r="H21"/>
  <c r="H24" s="1"/>
  <c r="H21" i="37"/>
  <c r="H24" s="1"/>
  <c r="P44"/>
  <c r="F21" i="33"/>
  <c r="F24" s="1"/>
  <c r="F21" i="37"/>
  <c r="F24" s="1"/>
  <c r="O32"/>
  <c r="I33"/>
  <c r="H12" i="33"/>
  <c r="H12" i="37"/>
  <c r="H37" i="32"/>
  <c r="O33" i="33"/>
  <c r="O33" i="37"/>
  <c r="M12" i="33"/>
  <c r="M12" i="37"/>
  <c r="J44"/>
  <c r="J48" s="1"/>
  <c r="J18" i="31"/>
  <c r="N21" i="33"/>
  <c r="L21"/>
  <c r="L21" i="37"/>
  <c r="L24" s="1"/>
  <c r="J14" i="33"/>
  <c r="J14" i="37"/>
  <c r="F15" i="33"/>
  <c r="F17" s="1"/>
  <c r="F26" s="1"/>
  <c r="F15" i="37"/>
  <c r="H37" i="35"/>
  <c r="Q12" i="37"/>
  <c r="L33" i="33"/>
  <c r="L33" i="37"/>
  <c r="L36" s="1"/>
  <c r="L44" s="1"/>
  <c r="L48" s="1"/>
  <c r="G37" i="36"/>
  <c r="F48" i="37"/>
  <c r="K44"/>
  <c r="K48" s="1"/>
  <c r="G13"/>
  <c r="I21"/>
  <c r="I24" s="1"/>
  <c r="F12"/>
  <c r="F17" s="1"/>
  <c r="Q33" i="33"/>
  <c r="Q33" i="37"/>
  <c r="Q36" s="1"/>
  <c r="Q14" i="33"/>
  <c r="Q14" i="37"/>
  <c r="M33"/>
  <c r="M36" s="1"/>
  <c r="M44" s="1"/>
  <c r="M48" s="1"/>
  <c r="H37" i="36"/>
  <c r="G44" i="37"/>
  <c r="G48" s="1"/>
  <c r="H44"/>
  <c r="H48" s="1"/>
  <c r="P48"/>
  <c r="I36"/>
  <c r="I44" s="1"/>
  <c r="I48" s="1"/>
  <c r="K36" i="33"/>
  <c r="K44" s="1"/>
  <c r="K48" s="1"/>
  <c r="J11" i="31"/>
  <c r="J14" s="1"/>
  <c r="N18"/>
  <c r="K24"/>
  <c r="K28" s="1"/>
  <c r="N36" i="33"/>
  <c r="I11" i="31"/>
  <c r="I14" s="1"/>
  <c r="I33" i="33"/>
  <c r="I36" s="1"/>
  <c r="I44" s="1"/>
  <c r="I48" s="1"/>
  <c r="H36"/>
  <c r="H44" s="1"/>
  <c r="H48" s="1"/>
  <c r="O32"/>
  <c r="E11" i="31"/>
  <c r="E14" s="1"/>
  <c r="H57" i="29"/>
  <c r="J57" s="1"/>
  <c r="F48" i="35"/>
  <c r="F95" s="1"/>
  <c r="L36" i="33"/>
  <c r="L44" s="1"/>
  <c r="L48" s="1"/>
  <c r="Q21" i="37"/>
  <c r="Q24" s="1"/>
  <c r="F22" i="31"/>
  <c r="F24" s="1"/>
  <c r="F28" s="1"/>
  <c r="N19"/>
  <c r="H22"/>
  <c r="H24" s="1"/>
  <c r="H28" s="1"/>
  <c r="P21" i="37"/>
  <c r="P24" s="1"/>
  <c r="M20" i="31"/>
  <c r="M22" s="1"/>
  <c r="M24" s="1"/>
  <c r="M28" s="1"/>
  <c r="F195" i="29"/>
  <c r="J19" i="31"/>
  <c r="F33" i="33"/>
  <c r="F36" s="1"/>
  <c r="F44" s="1"/>
  <c r="F48" s="1"/>
  <c r="K21"/>
  <c r="O21"/>
  <c r="O24" s="1"/>
  <c r="J20" i="31"/>
  <c r="I12" i="33"/>
  <c r="G21"/>
  <c r="G24" s="1"/>
  <c r="H24" i="29"/>
  <c r="I18" i="31"/>
  <c r="P14" i="33"/>
  <c r="L11" i="31"/>
  <c r="L14" s="1"/>
  <c r="E20"/>
  <c r="E22" s="1"/>
  <c r="E24" s="1"/>
  <c r="E28" s="1"/>
  <c r="O18"/>
  <c r="Q34" i="33"/>
  <c r="Q36" s="1"/>
  <c r="M21"/>
  <c r="M24" s="1"/>
  <c r="Q21"/>
  <c r="Q24" s="1"/>
  <c r="P36"/>
  <c r="P44" s="1"/>
  <c r="P48" s="1"/>
  <c r="D18" i="31"/>
  <c r="D22" s="1"/>
  <c r="D24" s="1"/>
  <c r="D28" s="1"/>
  <c r="H26" i="35"/>
  <c r="H23" s="1"/>
  <c r="H26" i="32"/>
  <c r="H23" s="1"/>
  <c r="H13" i="37"/>
  <c r="O14" i="31"/>
  <c r="P11"/>
  <c r="P14" s="1"/>
  <c r="I21" i="33"/>
  <c r="I24" s="1"/>
  <c r="I20" i="31"/>
  <c r="M36" i="33"/>
  <c r="M44" s="1"/>
  <c r="M48" s="1"/>
  <c r="O19" i="31"/>
  <c r="P19" s="1"/>
  <c r="H194" i="29"/>
  <c r="G19" i="31"/>
  <c r="G22" s="1"/>
  <c r="G24" s="1"/>
  <c r="G28" s="1"/>
  <c r="Q42" i="33"/>
  <c r="R40"/>
  <c r="G13"/>
  <c r="P21"/>
  <c r="P24" s="1"/>
  <c r="J21"/>
  <c r="J24" s="1"/>
  <c r="N24"/>
  <c r="G24" i="29"/>
  <c r="G36" i="33"/>
  <c r="G44" s="1"/>
  <c r="G48" s="1"/>
  <c r="L20" i="31"/>
  <c r="L22" s="1"/>
  <c r="N44" i="33"/>
  <c r="N48" s="1"/>
  <c r="K24"/>
  <c r="O20" i="31"/>
  <c r="P20" s="1"/>
  <c r="J33" i="33"/>
  <c r="J36" s="1"/>
  <c r="J44" s="1"/>
  <c r="J48" s="1"/>
  <c r="N22" i="31"/>
  <c r="N24" s="1"/>
  <c r="N28" s="1"/>
  <c r="L24" i="33"/>
  <c r="G38" i="36" l="1"/>
  <c r="G38" i="35"/>
  <c r="G35" s="1"/>
  <c r="G48" s="1"/>
  <c r="G95" s="1"/>
  <c r="G38" i="32"/>
  <c r="G35" s="1"/>
  <c r="G48" s="1"/>
  <c r="G95" s="1"/>
  <c r="G35" i="36"/>
  <c r="G48" s="1"/>
  <c r="G95" s="1"/>
  <c r="J58" i="29"/>
  <c r="L58" s="1"/>
  <c r="F26" i="37"/>
  <c r="O36"/>
  <c r="O44" s="1"/>
  <c r="O48" s="1"/>
  <c r="Q42"/>
  <c r="R40"/>
  <c r="O36" i="33"/>
  <c r="O44" s="1"/>
  <c r="O48" s="1"/>
  <c r="R24" i="37"/>
  <c r="I57" i="29"/>
  <c r="K57" s="1"/>
  <c r="I22" i="31"/>
  <c r="I24" s="1"/>
  <c r="I28" s="1"/>
  <c r="L24"/>
  <c r="L28" s="1"/>
  <c r="J22"/>
  <c r="J24" s="1"/>
  <c r="J28" s="1"/>
  <c r="I26" i="35"/>
  <c r="I23" s="1"/>
  <c r="I26" i="32"/>
  <c r="I23" s="1"/>
  <c r="I13" i="37"/>
  <c r="R24" i="33"/>
  <c r="I24" i="29"/>
  <c r="G194"/>
  <c r="H195" s="1"/>
  <c r="J24"/>
  <c r="H13" i="33"/>
  <c r="O22" i="31"/>
  <c r="O24" s="1"/>
  <c r="O28" s="1"/>
  <c r="P18"/>
  <c r="P22" s="1"/>
  <c r="P24" s="1"/>
  <c r="P28" s="1"/>
  <c r="R42" i="33"/>
  <c r="R44" s="1"/>
  <c r="R48" s="1"/>
  <c r="Q44"/>
  <c r="Q48" s="1"/>
  <c r="G15" i="37" l="1"/>
  <c r="G17" s="1"/>
  <c r="G26" s="1"/>
  <c r="G15" i="33"/>
  <c r="G17" s="1"/>
  <c r="G26" s="1"/>
  <c r="K58" i="29"/>
  <c r="M58" s="1"/>
  <c r="H38" i="32"/>
  <c r="H35" s="1"/>
  <c r="H48" s="1"/>
  <c r="H95" s="1"/>
  <c r="H38" i="36"/>
  <c r="H35" s="1"/>
  <c r="H48" s="1"/>
  <c r="H95" s="1"/>
  <c r="H38" i="35"/>
  <c r="H35" s="1"/>
  <c r="H48" s="1"/>
  <c r="H95" s="1"/>
  <c r="N58" i="29"/>
  <c r="P58" s="1"/>
  <c r="L57"/>
  <c r="R42" i="37"/>
  <c r="R44" s="1"/>
  <c r="R48" s="1"/>
  <c r="Q44"/>
  <c r="Q48" s="1"/>
  <c r="I37" i="36"/>
  <c r="I37" i="35"/>
  <c r="I37" i="32"/>
  <c r="N57" i="29"/>
  <c r="M57"/>
  <c r="I13" i="33"/>
  <c r="L24" i="29"/>
  <c r="J194"/>
  <c r="K24"/>
  <c r="I194"/>
  <c r="J26" i="35"/>
  <c r="J23" s="1"/>
  <c r="J26" i="32"/>
  <c r="J23" s="1"/>
  <c r="J13" i="37"/>
  <c r="J195" i="29" l="1"/>
  <c r="I38" i="36"/>
  <c r="I35" s="1"/>
  <c r="I48" s="1"/>
  <c r="I95" s="1"/>
  <c r="I38" i="35"/>
  <c r="I35" s="1"/>
  <c r="I48" s="1"/>
  <c r="I95" s="1"/>
  <c r="I38" i="32"/>
  <c r="I35" s="1"/>
  <c r="I48" s="1"/>
  <c r="I95" s="1"/>
  <c r="H15" i="37"/>
  <c r="H17" s="1"/>
  <c r="H26" s="1"/>
  <c r="H15" i="33"/>
  <c r="H17" s="1"/>
  <c r="H26" s="1"/>
  <c r="O58" i="29"/>
  <c r="Q58" s="1"/>
  <c r="J37" i="36"/>
  <c r="J37" i="35"/>
  <c r="J37" i="32"/>
  <c r="P57" i="29"/>
  <c r="O57"/>
  <c r="Q57" s="1"/>
  <c r="N24"/>
  <c r="L194"/>
  <c r="J13" i="33"/>
  <c r="K26" i="35"/>
  <c r="K23" s="1"/>
  <c r="K26" i="32"/>
  <c r="K23" s="1"/>
  <c r="K13" i="37"/>
  <c r="M24" i="29"/>
  <c r="K194"/>
  <c r="I15" i="33" l="1"/>
  <c r="I17" s="1"/>
  <c r="I26" s="1"/>
  <c r="I15" i="37"/>
  <c r="I17" s="1"/>
  <c r="I26" s="1"/>
  <c r="J38" i="32"/>
  <c r="J35" s="1"/>
  <c r="J48" s="1"/>
  <c r="J95" s="1"/>
  <c r="J38" i="36"/>
  <c r="J35" s="1"/>
  <c r="J48" s="1"/>
  <c r="J95" s="1"/>
  <c r="J38" i="35"/>
  <c r="J35" s="1"/>
  <c r="J48" s="1"/>
  <c r="J95" s="1"/>
  <c r="R58" i="29"/>
  <c r="T58" s="1"/>
  <c r="K37" i="36"/>
  <c r="K37" i="32"/>
  <c r="K37" i="35"/>
  <c r="J15" i="37"/>
  <c r="J17" s="1"/>
  <c r="J26" s="1"/>
  <c r="J15" i="33"/>
  <c r="J17" s="1"/>
  <c r="J26" s="1"/>
  <c r="R57" i="29"/>
  <c r="T57" s="1"/>
  <c r="K13" i="33"/>
  <c r="L26" i="35"/>
  <c r="L23" s="1"/>
  <c r="L26" i="32"/>
  <c r="L23" s="1"/>
  <c r="L13" i="37"/>
  <c r="O24" i="29"/>
  <c r="M194"/>
  <c r="L195"/>
  <c r="P24"/>
  <c r="N194"/>
  <c r="N195" s="1"/>
  <c r="S58" l="1"/>
  <c r="U58" s="1"/>
  <c r="K38" i="32"/>
  <c r="K35" s="1"/>
  <c r="K48" s="1"/>
  <c r="K95" s="1"/>
  <c r="K38" i="36"/>
  <c r="K38" i="35"/>
  <c r="K35" s="1"/>
  <c r="K48" s="1"/>
  <c r="K95" s="1"/>
  <c r="K35" i="36"/>
  <c r="K48" s="1"/>
  <c r="K95" s="1"/>
  <c r="V58" i="29"/>
  <c r="X58" s="1"/>
  <c r="L37" i="36"/>
  <c r="L37" i="35"/>
  <c r="L37" i="32"/>
  <c r="S57" i="29"/>
  <c r="U57" s="1"/>
  <c r="M26" i="35"/>
  <c r="M23" s="1"/>
  <c r="M26" i="32"/>
  <c r="M23" s="1"/>
  <c r="M13" i="37"/>
  <c r="R24" i="29"/>
  <c r="P194"/>
  <c r="Q24"/>
  <c r="O194"/>
  <c r="L13" i="33"/>
  <c r="K15" l="1"/>
  <c r="K17" s="1"/>
  <c r="K26" s="1"/>
  <c r="K15" i="37"/>
  <c r="K17" s="1"/>
  <c r="K26" s="1"/>
  <c r="L38" i="36"/>
  <c r="L35" s="1"/>
  <c r="L48" s="1"/>
  <c r="L95" s="1"/>
  <c r="L38" i="35"/>
  <c r="L35" s="1"/>
  <c r="L48" s="1"/>
  <c r="L95" s="1"/>
  <c r="L38" i="32"/>
  <c r="L35" s="1"/>
  <c r="L48" s="1"/>
  <c r="L95" s="1"/>
  <c r="W58" i="29"/>
  <c r="Y58" s="1"/>
  <c r="Z58"/>
  <c r="AB58" s="1"/>
  <c r="AE58" s="1"/>
  <c r="M37" i="36"/>
  <c r="M37" i="32"/>
  <c r="M37" i="35"/>
  <c r="L15" i="37"/>
  <c r="L17" s="1"/>
  <c r="L26" s="1"/>
  <c r="L15" i="33"/>
  <c r="L17" s="1"/>
  <c r="L26" s="1"/>
  <c r="P195" i="29"/>
  <c r="V57"/>
  <c r="X57" s="1"/>
  <c r="T24"/>
  <c r="R194"/>
  <c r="M13" i="33"/>
  <c r="S24" i="29"/>
  <c r="Q194"/>
  <c r="N26" i="35"/>
  <c r="N23" s="1"/>
  <c r="N26" i="32"/>
  <c r="N23" s="1"/>
  <c r="N13" i="37"/>
  <c r="M38" i="35" l="1"/>
  <c r="M35" s="1"/>
  <c r="M48" s="1"/>
  <c r="M95" s="1"/>
  <c r="M38" i="32"/>
  <c r="M35" s="1"/>
  <c r="M48" s="1"/>
  <c r="M95" s="1"/>
  <c r="M38" i="36"/>
  <c r="M35" s="1"/>
  <c r="M48" s="1"/>
  <c r="M95" s="1"/>
  <c r="AA58" i="29"/>
  <c r="AD58" s="1"/>
  <c r="W57"/>
  <c r="Y57" s="1"/>
  <c r="N37" i="36"/>
  <c r="N37" i="32"/>
  <c r="N37" i="35"/>
  <c r="Z57" i="29"/>
  <c r="AB57" s="1"/>
  <c r="AE57" s="1"/>
  <c r="U24"/>
  <c r="S194"/>
  <c r="O26" i="35"/>
  <c r="O23" s="1"/>
  <c r="O26" i="32"/>
  <c r="O23" s="1"/>
  <c r="O13" i="37"/>
  <c r="N13" i="33"/>
  <c r="R195" i="29"/>
  <c r="V24"/>
  <c r="T194"/>
  <c r="M15" i="33" l="1"/>
  <c r="M17" s="1"/>
  <c r="M26" s="1"/>
  <c r="M15" i="37"/>
  <c r="M17" s="1"/>
  <c r="M26" s="1"/>
  <c r="T195" i="29"/>
  <c r="N38" i="36"/>
  <c r="N35" s="1"/>
  <c r="N48" s="1"/>
  <c r="N95" s="1"/>
  <c r="N38" i="35"/>
  <c r="N35" s="1"/>
  <c r="N48" s="1"/>
  <c r="N95" s="1"/>
  <c r="N38" i="32"/>
  <c r="N35" s="1"/>
  <c r="N48" s="1"/>
  <c r="N95" s="1"/>
  <c r="O37" i="36"/>
  <c r="O37" i="35"/>
  <c r="O37" i="32"/>
  <c r="AA57" i="29"/>
  <c r="AD57" s="1"/>
  <c r="X24"/>
  <c r="V194"/>
  <c r="P26" i="35"/>
  <c r="P23" s="1"/>
  <c r="P26" i="32"/>
  <c r="P23" s="1"/>
  <c r="P13" i="37"/>
  <c r="O13" i="33"/>
  <c r="W24" i="29"/>
  <c r="U194"/>
  <c r="N15" i="33" l="1"/>
  <c r="N17" s="1"/>
  <c r="N26" s="1"/>
  <c r="N15" i="37"/>
  <c r="N17" s="1"/>
  <c r="N26" s="1"/>
  <c r="O38" i="36"/>
  <c r="O35" s="1"/>
  <c r="O48" s="1"/>
  <c r="O95" s="1"/>
  <c r="O38" i="35"/>
  <c r="O35" s="1"/>
  <c r="O48" s="1"/>
  <c r="O95" s="1"/>
  <c r="O38" i="32"/>
  <c r="O35"/>
  <c r="O48" s="1"/>
  <c r="O95" s="1"/>
  <c r="P37" i="36"/>
  <c r="P37" i="35"/>
  <c r="P37" i="32"/>
  <c r="Q26" i="35"/>
  <c r="R26" s="1"/>
  <c r="R23" s="1"/>
  <c r="Q26" i="32"/>
  <c r="V195" i="29"/>
  <c r="Y24"/>
  <c r="W194"/>
  <c r="P13" i="33"/>
  <c r="Z24" i="29"/>
  <c r="X194"/>
  <c r="O15" i="37" l="1"/>
  <c r="O17" s="1"/>
  <c r="O26" s="1"/>
  <c r="P38" i="36"/>
  <c r="P38" i="32"/>
  <c r="P35" s="1"/>
  <c r="P48" s="1"/>
  <c r="P95" s="1"/>
  <c r="P38" i="35"/>
  <c r="P35" s="1"/>
  <c r="P48" s="1"/>
  <c r="P95" s="1"/>
  <c r="P35" i="36"/>
  <c r="P48" s="1"/>
  <c r="P95" s="1"/>
  <c r="O15" i="33"/>
  <c r="O17" s="1"/>
  <c r="O26" s="1"/>
  <c r="Q37" i="36"/>
  <c r="Q37" i="35"/>
  <c r="Q37" i="32"/>
  <c r="X195" i="29"/>
  <c r="Q13" i="37"/>
  <c r="R26" i="32"/>
  <c r="R23" s="1"/>
  <c r="R13" i="37" s="1"/>
  <c r="Q23" i="32"/>
  <c r="AB24" i="29"/>
  <c r="Z194"/>
  <c r="Z195" s="1"/>
  <c r="Q23" i="35"/>
  <c r="AA24" i="29"/>
  <c r="Y194"/>
  <c r="P15" i="33" l="1"/>
  <c r="P17" s="1"/>
  <c r="P26" s="1"/>
  <c r="P15" i="37"/>
  <c r="P17" s="1"/>
  <c r="P26" s="1"/>
  <c r="Q38" i="36"/>
  <c r="Q35" s="1"/>
  <c r="Q48" s="1"/>
  <c r="Q95" s="1"/>
  <c r="Q38" i="35"/>
  <c r="R38" s="1"/>
  <c r="Q38" i="32"/>
  <c r="R38" s="1"/>
  <c r="R37" i="35"/>
  <c r="Q35"/>
  <c r="R35" s="1"/>
  <c r="R95" s="1"/>
  <c r="S135" s="1"/>
  <c r="R37" i="32"/>
  <c r="Q35"/>
  <c r="R35" s="1"/>
  <c r="Q13" i="33"/>
  <c r="AD24" i="29"/>
  <c r="AD194" s="1"/>
  <c r="AA194"/>
  <c r="AE24"/>
  <c r="AE194" s="1"/>
  <c r="AB194"/>
  <c r="AB195" l="1"/>
  <c r="R15" i="33"/>
  <c r="R15" i="37"/>
  <c r="R17" s="1"/>
  <c r="R26" s="1"/>
  <c r="Q48" i="32"/>
  <c r="R48" s="1"/>
  <c r="Q48" i="35"/>
  <c r="R48" s="1"/>
  <c r="Q15" i="37"/>
  <c r="Q17" s="1"/>
  <c r="Q26" s="1"/>
  <c r="Q15" i="33"/>
  <c r="Q17" s="1"/>
  <c r="Q26" s="1"/>
  <c r="AE195" i="29"/>
  <c r="R13" i="33"/>
  <c r="R17" s="1"/>
  <c r="R26" s="1"/>
  <c r="R95" i="32"/>
  <c r="S135" s="1"/>
  <c r="Q95" i="35"/>
  <c r="Q95" i="32" l="1"/>
</calcChain>
</file>

<file path=xl/sharedStrings.xml><?xml version="1.0" encoding="utf-8"?>
<sst xmlns="http://schemas.openxmlformats.org/spreadsheetml/2006/main" count="1925" uniqueCount="739">
  <si>
    <t>ACCOUNT CODE</t>
  </si>
  <si>
    <t>DESCRIPTION</t>
  </si>
  <si>
    <t>ADJUSTMENTS</t>
  </si>
  <si>
    <t>ADJUSTED TRIAL BALANCE</t>
  </si>
  <si>
    <t>STATEMENT OF FINANCIAL PERFORMANCE</t>
  </si>
  <si>
    <t>STATEMENT OF FINANCIAL POSITION</t>
  </si>
  <si>
    <t>DR</t>
  </si>
  <si>
    <t>CR</t>
  </si>
  <si>
    <t>As of December 31, 2015</t>
  </si>
  <si>
    <t>(Red Flag for Abnormal Balances)</t>
  </si>
  <si>
    <t>10101010 00</t>
  </si>
  <si>
    <t>10101020 00</t>
  </si>
  <si>
    <t>10102020 00</t>
  </si>
  <si>
    <t>10104010 00</t>
  </si>
  <si>
    <t>10104020 00</t>
  </si>
  <si>
    <t>10104030 00</t>
  </si>
  <si>
    <t>10104040 00</t>
  </si>
  <si>
    <t>10104050 00</t>
  </si>
  <si>
    <t>10301010 00</t>
  </si>
  <si>
    <t>10301011 00</t>
  </si>
  <si>
    <t>10303010 00</t>
  </si>
  <si>
    <t>10303020 00</t>
  </si>
  <si>
    <t>10303030 00</t>
  </si>
  <si>
    <t>10305010 00</t>
  </si>
  <si>
    <t>10305020 00</t>
  </si>
  <si>
    <t>10305030 00</t>
  </si>
  <si>
    <t>10305990 00</t>
  </si>
  <si>
    <t>10404010 00</t>
  </si>
  <si>
    <t>10404020 00</t>
  </si>
  <si>
    <t>10404070 00</t>
  </si>
  <si>
    <t>10404100 00</t>
  </si>
  <si>
    <t>10404990 00</t>
  </si>
  <si>
    <t>10601010 00</t>
  </si>
  <si>
    <t>10602990 00</t>
  </si>
  <si>
    <t>10602991 00</t>
  </si>
  <si>
    <t>10603050 00</t>
  </si>
  <si>
    <t>10604010 00</t>
  </si>
  <si>
    <t>10604011 00</t>
  </si>
  <si>
    <t>10604990 00</t>
  </si>
  <si>
    <t>10604991 00</t>
  </si>
  <si>
    <t>10605010 00</t>
  </si>
  <si>
    <t>10605011 00</t>
  </si>
  <si>
    <t>10605020 00</t>
  </si>
  <si>
    <t>10605021 00</t>
  </si>
  <si>
    <t>10605030 00</t>
  </si>
  <si>
    <t>10605031 00</t>
  </si>
  <si>
    <t>10605070 00</t>
  </si>
  <si>
    <t>10605071 00</t>
  </si>
  <si>
    <t>10605080 00</t>
  </si>
  <si>
    <t>10605081 00</t>
  </si>
  <si>
    <t>10605090 00</t>
  </si>
  <si>
    <t>10605091 00</t>
  </si>
  <si>
    <t>10605100 00</t>
  </si>
  <si>
    <t>10605101 00</t>
  </si>
  <si>
    <t>10605110 00</t>
  </si>
  <si>
    <t>10605111 00</t>
  </si>
  <si>
    <t>10605130 00</t>
  </si>
  <si>
    <t>10605131 00</t>
  </si>
  <si>
    <t>10605140 00</t>
  </si>
  <si>
    <t>10605141 00</t>
  </si>
  <si>
    <t>10605990 00</t>
  </si>
  <si>
    <t>10605991 00</t>
  </si>
  <si>
    <t>10606010 00</t>
  </si>
  <si>
    <t>10606011 00</t>
  </si>
  <si>
    <t>10606040 00</t>
  </si>
  <si>
    <t>10606041 00</t>
  </si>
  <si>
    <t>10607010 00</t>
  </si>
  <si>
    <t>10607011 00</t>
  </si>
  <si>
    <t>10607020 00</t>
  </si>
  <si>
    <t>10607021 00</t>
  </si>
  <si>
    <t>10609020 00</t>
  </si>
  <si>
    <t>10609021 00</t>
  </si>
  <si>
    <t>10610030 00</t>
  </si>
  <si>
    <t>10699990 00</t>
  </si>
  <si>
    <t>10699991 00</t>
  </si>
  <si>
    <t>10801020 00</t>
  </si>
  <si>
    <t>19901020 00</t>
  </si>
  <si>
    <t>19901030 00</t>
  </si>
  <si>
    <t>19901040 00</t>
  </si>
  <si>
    <t>19902010 00</t>
  </si>
  <si>
    <t>19902020 00</t>
  </si>
  <si>
    <t>19902030 00</t>
  </si>
  <si>
    <t>19902050 00</t>
  </si>
  <si>
    <t>19902990 00</t>
  </si>
  <si>
    <t>19903020 00</t>
  </si>
  <si>
    <t>19903990 00</t>
  </si>
  <si>
    <t>19999990 00</t>
  </si>
  <si>
    <t>20101010 00</t>
  </si>
  <si>
    <t>20101020 00</t>
  </si>
  <si>
    <t>20201010 00</t>
  </si>
  <si>
    <t>20201020 00</t>
  </si>
  <si>
    <t>20201030 00</t>
  </si>
  <si>
    <t>20201040 00</t>
  </si>
  <si>
    <t>20201050 00</t>
  </si>
  <si>
    <t>20201060 00</t>
  </si>
  <si>
    <t>20401010 00</t>
  </si>
  <si>
    <t>20401040 00</t>
  </si>
  <si>
    <t>29999990 00</t>
  </si>
  <si>
    <t>30101010 00</t>
  </si>
  <si>
    <t>30201010 00</t>
  </si>
  <si>
    <t>40201010 00</t>
  </si>
  <si>
    <t>40201020 00</t>
  </si>
  <si>
    <t>40201040 00</t>
  </si>
  <si>
    <t>40201090 00</t>
  </si>
  <si>
    <t>40201100 00</t>
  </si>
  <si>
    <t>40201110 00</t>
  </si>
  <si>
    <t>40201110 99</t>
  </si>
  <si>
    <t>40201130 00</t>
  </si>
  <si>
    <t>40201130 01</t>
  </si>
  <si>
    <t>40201130 02</t>
  </si>
  <si>
    <t>40201130 03</t>
  </si>
  <si>
    <t>40201130 04</t>
  </si>
  <si>
    <t>40201130 07</t>
  </si>
  <si>
    <t>40201130 11</t>
  </si>
  <si>
    <t>40201130 99</t>
  </si>
  <si>
    <t>40201140 00</t>
  </si>
  <si>
    <t>40201990 00</t>
  </si>
  <si>
    <t>40201990 06</t>
  </si>
  <si>
    <t>40202040 00</t>
  </si>
  <si>
    <t>40202050 00</t>
  </si>
  <si>
    <t>40202150 00</t>
  </si>
  <si>
    <t>40202160 00</t>
  </si>
  <si>
    <t>40202210 00</t>
  </si>
  <si>
    <t>40202990 00</t>
  </si>
  <si>
    <t>40301010 00</t>
  </si>
  <si>
    <t>40301020 00</t>
  </si>
  <si>
    <t>40301040 00</t>
  </si>
  <si>
    <t>40301050 00</t>
  </si>
  <si>
    <t>40401010 04</t>
  </si>
  <si>
    <t>40501040 00</t>
  </si>
  <si>
    <t>40501990 00</t>
  </si>
  <si>
    <t>50101010 00</t>
  </si>
  <si>
    <t>50102010 00</t>
  </si>
  <si>
    <t>50102020 00</t>
  </si>
  <si>
    <t>50102030 00</t>
  </si>
  <si>
    <t>50102040 00</t>
  </si>
  <si>
    <t>50102050 00</t>
  </si>
  <si>
    <t>50102060 00</t>
  </si>
  <si>
    <t>50102070 00</t>
  </si>
  <si>
    <t>50102080 00</t>
  </si>
  <si>
    <t>50102100 00</t>
  </si>
  <si>
    <t>50102990 00</t>
  </si>
  <si>
    <t>50102990 11</t>
  </si>
  <si>
    <t>50102120 00</t>
  </si>
  <si>
    <t>50102130 00</t>
  </si>
  <si>
    <t>50102140 00</t>
  </si>
  <si>
    <t>50102150 00</t>
  </si>
  <si>
    <t>50103010 00</t>
  </si>
  <si>
    <t>50103020 00</t>
  </si>
  <si>
    <t>50103030 00</t>
  </si>
  <si>
    <t>50103040 00</t>
  </si>
  <si>
    <t>50104020 00</t>
  </si>
  <si>
    <t>50104030 00</t>
  </si>
  <si>
    <t>50104990 00</t>
  </si>
  <si>
    <t>50201010 00</t>
  </si>
  <si>
    <t>50201020 00</t>
  </si>
  <si>
    <t>50202010 00</t>
  </si>
  <si>
    <t>50202020 00</t>
  </si>
  <si>
    <t>50203010 00</t>
  </si>
  <si>
    <t>50203020 00</t>
  </si>
  <si>
    <t>50203030 00</t>
  </si>
  <si>
    <t>50203050 00</t>
  </si>
  <si>
    <t>50203070 00</t>
  </si>
  <si>
    <t>50203080 00</t>
  </si>
  <si>
    <t>50203090 00</t>
  </si>
  <si>
    <t>50203130 00</t>
  </si>
  <si>
    <t>50203990 00</t>
  </si>
  <si>
    <t>50204010 00</t>
  </si>
  <si>
    <t>50204020 00</t>
  </si>
  <si>
    <t>50205010 00</t>
  </si>
  <si>
    <t>50205020 01</t>
  </si>
  <si>
    <t>50205020 02</t>
  </si>
  <si>
    <t>50205030 00</t>
  </si>
  <si>
    <t>50205040 00</t>
  </si>
  <si>
    <t>50206020 00</t>
  </si>
  <si>
    <t>50207010 00</t>
  </si>
  <si>
    <t>50210030 00</t>
  </si>
  <si>
    <t>50211010 00</t>
  </si>
  <si>
    <t>50211020 00</t>
  </si>
  <si>
    <t>50211030 00</t>
  </si>
  <si>
    <t>50211990 00</t>
  </si>
  <si>
    <t>50212020 00</t>
  </si>
  <si>
    <t>50212030 00</t>
  </si>
  <si>
    <t>50212990 00</t>
  </si>
  <si>
    <t>50213040 00</t>
  </si>
  <si>
    <t>50213050 01</t>
  </si>
  <si>
    <t>50213050 02</t>
  </si>
  <si>
    <t>50213050 03</t>
  </si>
  <si>
    <t>50213050 14</t>
  </si>
  <si>
    <t>50213050 99</t>
  </si>
  <si>
    <t>50213060 01</t>
  </si>
  <si>
    <t>50213060 04</t>
  </si>
  <si>
    <t>50213080 01</t>
  </si>
  <si>
    <t>50213990 00</t>
  </si>
  <si>
    <t>50213990 99</t>
  </si>
  <si>
    <t>50214050 00</t>
  </si>
  <si>
    <t>50214990 01</t>
  </si>
  <si>
    <t>50215010 00</t>
  </si>
  <si>
    <t>50215020 00</t>
  </si>
  <si>
    <t>50215030 00</t>
  </si>
  <si>
    <t>50216010 00</t>
  </si>
  <si>
    <t>50299010 00</t>
  </si>
  <si>
    <t>50299020 00</t>
  </si>
  <si>
    <t>50299030 00</t>
  </si>
  <si>
    <t>50299040 00</t>
  </si>
  <si>
    <t>50299050 00</t>
  </si>
  <si>
    <t>50299060 00</t>
  </si>
  <si>
    <t>50299070 00</t>
  </si>
  <si>
    <t>50299080 00</t>
  </si>
  <si>
    <t>50299990 00</t>
  </si>
  <si>
    <t>50299990 01</t>
  </si>
  <si>
    <t>50301040 00</t>
  </si>
  <si>
    <t>50501020 00</t>
  </si>
  <si>
    <t>50501020 99</t>
  </si>
  <si>
    <t>50501040 00</t>
  </si>
  <si>
    <t>50501050 00</t>
  </si>
  <si>
    <t>50501050 02</t>
  </si>
  <si>
    <t>50501050 03</t>
  </si>
  <si>
    <t>50501050 07</t>
  </si>
  <si>
    <t>50501050 08</t>
  </si>
  <si>
    <t>50501050 09</t>
  </si>
  <si>
    <t>50501050 10</t>
  </si>
  <si>
    <t>50501050 11</t>
  </si>
  <si>
    <t>50501050 14</t>
  </si>
  <si>
    <t>50501050 99</t>
  </si>
  <si>
    <t>50501060 01</t>
  </si>
  <si>
    <t>50501060 04</t>
  </si>
  <si>
    <t>50501070 00</t>
  </si>
  <si>
    <t>50501090 02</t>
  </si>
  <si>
    <t>50501990 00</t>
  </si>
  <si>
    <t>50504040 00</t>
  </si>
  <si>
    <t>50504990 00</t>
  </si>
  <si>
    <t>Cash Collecting Officer</t>
  </si>
  <si>
    <t>Petty Cash Fund</t>
  </si>
  <si>
    <t>Cash in Bank - Local Currency, Current Account</t>
  </si>
  <si>
    <t>Cash - Treasury/Agency Deposit, Regular</t>
  </si>
  <si>
    <t>Cash - Treasury/Agency Deposit, Special</t>
  </si>
  <si>
    <t>Cash - Treasury/Agency Deposit, Trust</t>
  </si>
  <si>
    <t>Cash - Modified Disbursement System (MDS), Regular</t>
  </si>
  <si>
    <t>Cash - Modified Disbursement System (MDS), Special Account</t>
  </si>
  <si>
    <t>Accounts Receivable</t>
  </si>
  <si>
    <t>Allowance for Doubtful Accounts/Allow for Impairment-Acct Receivable</t>
  </si>
  <si>
    <t>Due from National Government Agencies</t>
  </si>
  <si>
    <t>Due from Government - Owned and/or Controlled Corporations</t>
  </si>
  <si>
    <t>Due from Local Government Units</t>
  </si>
  <si>
    <t>Receivables - Disallowances/Charges</t>
  </si>
  <si>
    <t>Due from Officers &amp; Employees</t>
  </si>
  <si>
    <t>Due from NGOs/POs</t>
  </si>
  <si>
    <t>Other Receivables</t>
  </si>
  <si>
    <t>Office Supplies Inventory</t>
  </si>
  <si>
    <t>Accountable Forms, Plates and Stickers Inventory</t>
  </si>
  <si>
    <t>Medical, Dental &amp; Laboratory Supplies Inventory</t>
  </si>
  <si>
    <t>Textbooks and Instructional Materials Inventory</t>
  </si>
  <si>
    <t>Other Supplies and Materials Inventory</t>
  </si>
  <si>
    <t>Land</t>
  </si>
  <si>
    <t>Other Land Improvements</t>
  </si>
  <si>
    <t>Accumulated Depreciation - Other Land Improvements</t>
  </si>
  <si>
    <t>Power Supply Systems</t>
  </si>
  <si>
    <t>Office Buildings</t>
  </si>
  <si>
    <t xml:space="preserve">Accumulated Depreciation - Office Buildings </t>
  </si>
  <si>
    <t>Other Structures</t>
  </si>
  <si>
    <t>Accumulated Depreciation - Other Structures</t>
  </si>
  <si>
    <t>Machinery</t>
  </si>
  <si>
    <t>Accumulated Depreciation - Machinery</t>
  </si>
  <si>
    <t>Office Equipment</t>
  </si>
  <si>
    <t>Accumulated Depreciation - Office Equipment</t>
  </si>
  <si>
    <t xml:space="preserve">Information and Communication Technology  Equipment </t>
  </si>
  <si>
    <t>Accumulated Depreciation - IT Equipment &amp; Software</t>
  </si>
  <si>
    <t>Communication Equipment</t>
  </si>
  <si>
    <t>Accumulated Depreciation - Communication Equipment</t>
  </si>
  <si>
    <t>Construction and Heavy Equipment</t>
  </si>
  <si>
    <t>Accumulated Depreciation - Construction &amp; Heavy Equipt.</t>
  </si>
  <si>
    <t>Disaster Response and Rescue Equipment</t>
  </si>
  <si>
    <t>Accumulated Depreciation - Disaster Response &amp; Rescue Equipment</t>
  </si>
  <si>
    <t>Military and Police Equipment</t>
  </si>
  <si>
    <t>Accumulated Depreciation - Military and Police Equipment</t>
  </si>
  <si>
    <t>Medical Equipment</t>
  </si>
  <si>
    <t>Accumulated Depreciation - Medical Equipment</t>
  </si>
  <si>
    <t>Sports Equipment</t>
  </si>
  <si>
    <t>Accumulated Depreciation - Sports Equipment</t>
  </si>
  <si>
    <t>Technical and Scientific Equipment</t>
  </si>
  <si>
    <t>Accumulated Depreciation - Technical and Scientific Equipt.</t>
  </si>
  <si>
    <t>Other Machinery and Equipment</t>
  </si>
  <si>
    <t xml:space="preserve">Accumulated Depreciation - Other Machinery and Equipment </t>
  </si>
  <si>
    <t>Motor Vehicles</t>
  </si>
  <si>
    <t>Accumulated Depreciation - Motor Vehicles</t>
  </si>
  <si>
    <t>Watercrafts</t>
  </si>
  <si>
    <t>Accumulated Depreciation - Watercrafts</t>
  </si>
  <si>
    <t xml:space="preserve">Furniture and Fixtures </t>
  </si>
  <si>
    <t>Accumulated Depreciation - Furniture and Fixtures</t>
  </si>
  <si>
    <t>Books</t>
  </si>
  <si>
    <t>Accumulated Depreciation - Books</t>
  </si>
  <si>
    <t>Leased Assets Improvements, Buildings</t>
  </si>
  <si>
    <t>Accumulated Depreciation - Leased Assets Improvements, Buildings</t>
  </si>
  <si>
    <t>Construction in Progress - Buildings &amp; Other Structures</t>
  </si>
  <si>
    <t>Other Property,Plant and Equipment</t>
  </si>
  <si>
    <t>Accumulated Depreciation - Other Property, Plant &amp; Eqp't</t>
  </si>
  <si>
    <t>Computer Software</t>
  </si>
  <si>
    <t>Advances for Payroll</t>
  </si>
  <si>
    <t>Advances to Special Disbursing Officer</t>
  </si>
  <si>
    <t>Advances to Officers and Employees</t>
  </si>
  <si>
    <t>Advances to Contractors</t>
  </si>
  <si>
    <t>Prepaid Rent</t>
  </si>
  <si>
    <t>Prepaid Registration</t>
  </si>
  <si>
    <t>Prepaid Insurance</t>
  </si>
  <si>
    <t>Other Prepayments</t>
  </si>
  <si>
    <t>Guaranty Deposits</t>
  </si>
  <si>
    <t>Other Deposits</t>
  </si>
  <si>
    <t>Other Assets</t>
  </si>
  <si>
    <t>Accounts Payable</t>
  </si>
  <si>
    <t>Due to Officers and Employees</t>
  </si>
  <si>
    <t>Due to BIR</t>
  </si>
  <si>
    <t xml:space="preserve">Due to GSIS </t>
  </si>
  <si>
    <t xml:space="preserve">Due to Pag-IBIG </t>
  </si>
  <si>
    <t>Due to PhilHealth</t>
  </si>
  <si>
    <t>Due to Other NGAs</t>
  </si>
  <si>
    <t>Due to GOCCs</t>
  </si>
  <si>
    <t>Trust Liabilities</t>
  </si>
  <si>
    <t>Guaranty/Security Deposits Payable</t>
  </si>
  <si>
    <t>Other Payables</t>
  </si>
  <si>
    <t>Accumulated Surplus/Deficit</t>
  </si>
  <si>
    <t>Revaluation Surplus</t>
  </si>
  <si>
    <t>Permit Fees</t>
  </si>
  <si>
    <t>Registration Fees</t>
  </si>
  <si>
    <t>Clearance and Certification Fee</t>
  </si>
  <si>
    <t>Legal Fees</t>
  </si>
  <si>
    <t>Inspection Fees</t>
  </si>
  <si>
    <t>Verification and Authentication Fees</t>
  </si>
  <si>
    <t>Other Verification and Authentication Fees</t>
  </si>
  <si>
    <t>Processing Fees</t>
  </si>
  <si>
    <t>Analysis Fees</t>
  </si>
  <si>
    <t>Appeal Fees</t>
  </si>
  <si>
    <t xml:space="preserve">Application Fees </t>
  </si>
  <si>
    <t>Assessment Fees</t>
  </si>
  <si>
    <t xml:space="preserve">Filing Fees </t>
  </si>
  <si>
    <t>Review Fees</t>
  </si>
  <si>
    <t>Other Processing Fees</t>
  </si>
  <si>
    <t xml:space="preserve">Fines and Penalties - Service Income </t>
  </si>
  <si>
    <t>Other Service Income</t>
  </si>
  <si>
    <t>Other Geological and Energy Data</t>
  </si>
  <si>
    <t>Seminar/Training Fees</t>
  </si>
  <si>
    <t>Rent/Lease Income</t>
  </si>
  <si>
    <t xml:space="preserve">Income from Printing and Publication </t>
  </si>
  <si>
    <t>Other Sales</t>
  </si>
  <si>
    <t>Interest Income</t>
  </si>
  <si>
    <t>Other Business Income</t>
  </si>
  <si>
    <t>Subsidy Income from National Government</t>
  </si>
  <si>
    <t>Subsidy Income from Other National Government Agencies-MGB Central Office</t>
  </si>
  <si>
    <t>Assistance from Government Owned Controlled Corporations</t>
  </si>
  <si>
    <t>Subsidy from Other Funds</t>
  </si>
  <si>
    <t>Royalties per RA 7160</t>
  </si>
  <si>
    <t>Gain on Sale of Property, Plant and Equipment</t>
  </si>
  <si>
    <t>Other Gains</t>
  </si>
  <si>
    <t>Salaries and Wages - Regular Pay</t>
  </si>
  <si>
    <t>Personnel Economic Relief Allowance (PERA)</t>
  </si>
  <si>
    <t>Representation Allowance (RA)</t>
  </si>
  <si>
    <t>Transportation Allowance(TA)</t>
  </si>
  <si>
    <t>Clothing/ Uniform Allowance</t>
  </si>
  <si>
    <t>Subsistence Allowance</t>
  </si>
  <si>
    <t>Laundry Allowance</t>
  </si>
  <si>
    <t>Quarters Allowance</t>
  </si>
  <si>
    <t>Productivity Incentive Allowance</t>
  </si>
  <si>
    <t>Honoraria</t>
  </si>
  <si>
    <t>Other Bonuses &amp; Allowances</t>
  </si>
  <si>
    <t>Collective Negotiation Agreement Incentive</t>
  </si>
  <si>
    <t>Longevity Pay</t>
  </si>
  <si>
    <t>Overtime and Night Pay</t>
  </si>
  <si>
    <t>Year End Bonus</t>
  </si>
  <si>
    <t>Cash Gift</t>
  </si>
  <si>
    <t>Life and Retirement Insurance Premiums</t>
  </si>
  <si>
    <t>Pag-IBIG Contributions</t>
  </si>
  <si>
    <t>PhilHealth Contributions</t>
  </si>
  <si>
    <t>ECC Contributions</t>
  </si>
  <si>
    <t>Retirement Gratuity</t>
  </si>
  <si>
    <t>Terminal Leave Benefits</t>
  </si>
  <si>
    <t>Other Personnel Benefits</t>
  </si>
  <si>
    <t>Travelling Expense - Local</t>
  </si>
  <si>
    <t>Travelling Expense - Foreign</t>
  </si>
  <si>
    <t>Training  Expenses</t>
  </si>
  <si>
    <t>Scholarship Expenses</t>
  </si>
  <si>
    <t>Office Supplies Expense</t>
  </si>
  <si>
    <t>Accountable Forms Expense</t>
  </si>
  <si>
    <t>Non-Accountable Forms Expenses</t>
  </si>
  <si>
    <t>Food Supplies Expenses</t>
  </si>
  <si>
    <t>Drugs and Medicines Expenses</t>
  </si>
  <si>
    <t>Medical, Dental &amp; Laboratory Supplies Expense</t>
  </si>
  <si>
    <t>Fuel, Oil and Lubricants Expenses</t>
  </si>
  <si>
    <t>Chemical &amp; Filtering Supplies Expense</t>
  </si>
  <si>
    <t>Other Supplies &amp; Materials Expense</t>
  </si>
  <si>
    <t>Water Expenses</t>
  </si>
  <si>
    <t>Electricity Expenses</t>
  </si>
  <si>
    <t>Postage and Courier Services</t>
  </si>
  <si>
    <t>Telephone Expenses - Mobile</t>
  </si>
  <si>
    <t>Telephone Expenses - LandLine</t>
  </si>
  <si>
    <t>Internet Expenses</t>
  </si>
  <si>
    <t>Cable,Satellite,Telegraph, and Radio Expenses</t>
  </si>
  <si>
    <t>Prizes</t>
  </si>
  <si>
    <t>Survey Expense</t>
  </si>
  <si>
    <t xml:space="preserve">Extraordinary and Miscellaneous Expenses </t>
  </si>
  <si>
    <t>Legal Services</t>
  </si>
  <si>
    <t>Auditing Services</t>
  </si>
  <si>
    <t>Consultancy Services</t>
  </si>
  <si>
    <t>Other Professional Services</t>
  </si>
  <si>
    <t>Janitorial Services</t>
  </si>
  <si>
    <t>Security Services</t>
  </si>
  <si>
    <t>Other General Services</t>
  </si>
  <si>
    <t>Repairs and Maintenance - Office Buildings</t>
  </si>
  <si>
    <t xml:space="preserve">Repairs and Maintenance - Machinery </t>
  </si>
  <si>
    <t>Repairs and Maintenance - Office Equipment</t>
  </si>
  <si>
    <t>Repairs and Maintenance - ICT Equipment</t>
  </si>
  <si>
    <t>Repairs and Maintenance - Technical and Scientific Equipment</t>
  </si>
  <si>
    <t>Repairs and Maintenance - Other Machinery &amp; Equipment</t>
  </si>
  <si>
    <t>Repairs and Maintenance - Motor Vehicles</t>
  </si>
  <si>
    <t>Repairs and Maintenance - Watercrafts</t>
  </si>
  <si>
    <t>Repairs and Maintenance - Furniture and Fixtures</t>
  </si>
  <si>
    <t>Repairs and Maintenance - Leased Assets Improvements</t>
  </si>
  <si>
    <t>Repairs and Maintenance - Other Property, Plant and Equipment</t>
  </si>
  <si>
    <t>Financial Assistance to NGOs/POs</t>
  </si>
  <si>
    <t>Subsidy to Regional Offices/Staff Bureaus</t>
  </si>
  <si>
    <t>Taxes,Duties and Licenses</t>
  </si>
  <si>
    <t>Fidelity Bond Premiums</t>
  </si>
  <si>
    <t>Insurance Expense</t>
  </si>
  <si>
    <t>Labor and Wages</t>
  </si>
  <si>
    <t>Advertising Expense</t>
  </si>
  <si>
    <t>Printing and Publication Expenses</t>
  </si>
  <si>
    <t>Representation Expenses</t>
  </si>
  <si>
    <t>Transportation and Delivery Expenses</t>
  </si>
  <si>
    <t>Rent/Lease Expense</t>
  </si>
  <si>
    <t>Membership Dues and Contributions to Organizations</t>
  </si>
  <si>
    <t>Subscriptions Expenses</t>
  </si>
  <si>
    <t>Donations</t>
  </si>
  <si>
    <t xml:space="preserve">Other Maintenance and Operating Expenses  </t>
  </si>
  <si>
    <t>Website Maintenance</t>
  </si>
  <si>
    <t>Bank Charges</t>
  </si>
  <si>
    <t>Depreciation - Land Improvements</t>
  </si>
  <si>
    <t>Depreciation - Other Land Improvements</t>
  </si>
  <si>
    <t>Depreciation - Office Buildings  &amp; Other Structures</t>
  </si>
  <si>
    <t>Depreciation - Machinery and Equipment</t>
  </si>
  <si>
    <t>Depreciation - Office Equipment</t>
  </si>
  <si>
    <t>Depreciation - ICT Equipment</t>
  </si>
  <si>
    <t>Depreciation - Communication Equipment</t>
  </si>
  <si>
    <t>Depreciation - Construction and Heavy Equipt.</t>
  </si>
  <si>
    <t>Depreciation - Disaster Response and Rescue Equipment</t>
  </si>
  <si>
    <t>Depreciation - Military and Police Equipment</t>
  </si>
  <si>
    <t>Depreciation - Medical Equipment</t>
  </si>
  <si>
    <t>Depreciation - Technical and Scientific Equipment</t>
  </si>
  <si>
    <t>Depreciation - Other  Machineries and Equipment</t>
  </si>
  <si>
    <t>Depreciation - Motor Vehicles</t>
  </si>
  <si>
    <t>Depreciation - Watercrafts</t>
  </si>
  <si>
    <t>Depreciation - Furniture,Fixtures and Books</t>
  </si>
  <si>
    <t>Depreciation - Leased Assets Improvements, Buildings</t>
  </si>
  <si>
    <t>Depreciation - Other Property,Plant and Equipment</t>
  </si>
  <si>
    <t>Loss on Sale of Property, Plant and Equipment</t>
  </si>
  <si>
    <t>Other Losses</t>
  </si>
  <si>
    <t>CODE</t>
  </si>
  <si>
    <t>Total Balances</t>
  </si>
  <si>
    <t>Description</t>
  </si>
  <si>
    <t>Legend (Code)</t>
  </si>
  <si>
    <t>Asset</t>
  </si>
  <si>
    <t>Equity</t>
  </si>
  <si>
    <t>Liability</t>
  </si>
  <si>
    <t>Income</t>
  </si>
  <si>
    <t>Expense</t>
  </si>
  <si>
    <t>Contra Asset</t>
  </si>
  <si>
    <t>PRELIMINARY TRIAL BALANCE</t>
  </si>
  <si>
    <t>INCOME/EXPENSE SUMMARY</t>
  </si>
  <si>
    <t>MINES AND GEOSCIENCES BUREAU - REGION VII</t>
  </si>
  <si>
    <t xml:space="preserve"> Statement of Cash Flows ( All Funds)</t>
  </si>
  <si>
    <t>Cash Flow from Operating Activities:</t>
  </si>
  <si>
    <t>Cash Inflows</t>
  </si>
  <si>
    <t>Receipts of Notice of Cash Allocations (NCA)</t>
  </si>
  <si>
    <t>Receipts of Notice of Cash Allocation</t>
  </si>
  <si>
    <t>Receipts of Notice of Transfer of Cash Allocation</t>
  </si>
  <si>
    <t>Collection of Income/Revenues</t>
  </si>
  <si>
    <t>Receipts of service and business income</t>
  </si>
  <si>
    <t>Other Receipts</t>
  </si>
  <si>
    <t>Receipt of refund of cash advances</t>
  </si>
  <si>
    <t>Adjustments</t>
  </si>
  <si>
    <t>Restoration of cash for cancelled check</t>
  </si>
  <si>
    <t>Total Cash Inflows</t>
  </si>
  <si>
    <t>Cash Outflows</t>
  </si>
  <si>
    <t>Remittance to National Treasury</t>
  </si>
  <si>
    <t>Payment of Expenses</t>
  </si>
  <si>
    <t>Payment of personnel services</t>
  </si>
  <si>
    <t>Payment of maintenance and other operating expenses</t>
  </si>
  <si>
    <t>Purchase of Inventories</t>
  </si>
  <si>
    <t>Purchase of Inventory held for consumption</t>
  </si>
  <si>
    <t>Grant of Cash Advances</t>
  </si>
  <si>
    <t>Advances for operating expenses</t>
  </si>
  <si>
    <t>Advances for special purpose/time-bound undertakings</t>
  </si>
  <si>
    <t>Advaces to officers and employees</t>
  </si>
  <si>
    <t>Prepayments</t>
  </si>
  <si>
    <t>Payment of Accounts Payable</t>
  </si>
  <si>
    <t>Remittance of Personnel Benefit Contributions and Mandatory Deductions</t>
  </si>
  <si>
    <t>Remittance to GSIS/Pag-IBIG/PhilHealth</t>
  </si>
  <si>
    <t>Remittance of other payables</t>
  </si>
  <si>
    <t>Reversal of Unutilized NCA</t>
  </si>
  <si>
    <t>Total Cash Outflows</t>
  </si>
  <si>
    <t>Net Cash Provided by (Used In) Operating Activities</t>
  </si>
  <si>
    <t>Cash Flow from Investing Activities:</t>
  </si>
  <si>
    <t xml:space="preserve">Purchase/Construction of Property, Plant and Equipment </t>
  </si>
  <si>
    <t>Purchase of machinery and equipment</t>
  </si>
  <si>
    <t>Payment of Retention Fee to Contractors</t>
  </si>
  <si>
    <t>Net Cash Provided by (Used In) Investing Activities</t>
  </si>
  <si>
    <t>Increase (Decrease) in Cash and Cash Equivalents</t>
  </si>
  <si>
    <t>Cash and Cash Equivalents, January 1, 2015</t>
  </si>
  <si>
    <t>Certified Correct:</t>
  </si>
  <si>
    <t>AIRA L. TORREGOSA</t>
  </si>
  <si>
    <t>Accountant III</t>
  </si>
  <si>
    <t>Accountant II</t>
  </si>
  <si>
    <t>For the Year Ended December 31, 2015</t>
  </si>
  <si>
    <t>Cash and Cash Equivalents, December 31, 2015</t>
  </si>
  <si>
    <t>MINES AND GEOSCIENCES BUREAU- REGION VII</t>
  </si>
  <si>
    <t>Maintenance and Other Operating Expenses</t>
  </si>
  <si>
    <t>ASSETS</t>
  </si>
  <si>
    <t xml:space="preserve">    Current Assets</t>
  </si>
  <si>
    <t xml:space="preserve"> Cash and Cash Equivalents</t>
  </si>
  <si>
    <t xml:space="preserve">            Cash on Hand</t>
  </si>
  <si>
    <t xml:space="preserve"> </t>
  </si>
  <si>
    <t>Cash-Collecting Officer</t>
  </si>
  <si>
    <t>Petty Cash</t>
  </si>
  <si>
    <t>Cash in Bank- Local Currency</t>
  </si>
  <si>
    <t>Cash in Bank- Local Currency, CA</t>
  </si>
  <si>
    <t>Treasury/ Agency Cash Accounts</t>
  </si>
  <si>
    <t>Cash- Treasury/ Agency Deposit, Regular</t>
  </si>
  <si>
    <t>Cash- Modified Disbursement System (MDS), Regular</t>
  </si>
  <si>
    <t xml:space="preserve">    Receivables</t>
  </si>
  <si>
    <t xml:space="preserve">    Inventories </t>
  </si>
  <si>
    <t>Inventory Held for Consumption</t>
  </si>
  <si>
    <t>Accountable Forms, Plates &amp; Stickers Inventory</t>
  </si>
  <si>
    <t>Other Supplies &amp; Materials Inventory</t>
  </si>
  <si>
    <t xml:space="preserve">    Other Current Assets</t>
  </si>
  <si>
    <t xml:space="preserve">    Total Current Assets</t>
  </si>
  <si>
    <t>Non-Current Assets</t>
  </si>
  <si>
    <t xml:space="preserve">    Property, Plant and Equipment</t>
  </si>
  <si>
    <t>Accumulated Impairment Losses-Land</t>
  </si>
  <si>
    <t>Net Value</t>
  </si>
  <si>
    <t>Land Improvements</t>
  </si>
  <si>
    <t>Accumulated Depreciation-Other Land Improvement</t>
  </si>
  <si>
    <t>DETAILED STATEMENT OF FINANCIAL POSITION</t>
  </si>
  <si>
    <t>Fund 101</t>
  </si>
  <si>
    <t>Building and Other Structures</t>
  </si>
  <si>
    <t>Buildings</t>
  </si>
  <si>
    <t>Accumulated Depreciation- Buildings</t>
  </si>
  <si>
    <t>Machinery and Equipment</t>
  </si>
  <si>
    <t>Accumulated Depreciation- Office Equipment</t>
  </si>
  <si>
    <t>Information &amp; Communication Tech Eq.</t>
  </si>
  <si>
    <t>Accumulated Depreciation- ICT Equipment</t>
  </si>
  <si>
    <t>Accumulated Depreciation- Communication Equipment</t>
  </si>
  <si>
    <t xml:space="preserve">Technical and Scientific Equipment </t>
  </si>
  <si>
    <t>Accumulated Depreciation- Tecnical &amp; Scientific Equipment</t>
  </si>
  <si>
    <t>Transportation Equipment</t>
  </si>
  <si>
    <t>Accumulated Depreciation- Motor Vehicles</t>
  </si>
  <si>
    <t>Furniture, Fixtures and Books</t>
  </si>
  <si>
    <t>Furniture &amp; Fixtures</t>
  </si>
  <si>
    <t>Accumulated Depreciation-Furniture and Fixtures</t>
  </si>
  <si>
    <t>Construction in Progress</t>
  </si>
  <si>
    <t>Construction in Progress- Bldgs.&amp; Other Str.</t>
  </si>
  <si>
    <t>Other Property, Plant and Equipment</t>
  </si>
  <si>
    <t>Accumulated Depreciation-Other PPE</t>
  </si>
  <si>
    <t>Other Non-Current Assets</t>
  </si>
  <si>
    <t xml:space="preserve">    Total Non- Current Assets</t>
  </si>
  <si>
    <t>Total Assets</t>
  </si>
  <si>
    <t>LIABILITIES AND NET ASSETS/EQUITY</t>
  </si>
  <si>
    <t>Liabilities</t>
  </si>
  <si>
    <t xml:space="preserve">    Current Liabilities</t>
  </si>
  <si>
    <t xml:space="preserve">    Financial Liabilities</t>
  </si>
  <si>
    <t>Payables</t>
  </si>
  <si>
    <t>Bills/Bonds/Loans Payable</t>
  </si>
  <si>
    <t xml:space="preserve">    Inter-Agency Payables</t>
  </si>
  <si>
    <t xml:space="preserve">          Due to BIR</t>
  </si>
  <si>
    <t xml:space="preserve">          Due to GSIS</t>
  </si>
  <si>
    <t xml:space="preserve">          Due to PAG-IBIG</t>
  </si>
  <si>
    <t xml:space="preserve">          Due to PHILHEALTH</t>
  </si>
  <si>
    <t xml:space="preserve">    Other Payables</t>
  </si>
  <si>
    <t xml:space="preserve">          Other Payables</t>
  </si>
  <si>
    <t xml:space="preserve">    Total Current Liabilities</t>
  </si>
  <si>
    <t xml:space="preserve">    Total Liabilities</t>
  </si>
  <si>
    <t>Net Assets/Equity</t>
  </si>
  <si>
    <t xml:space="preserve">    Equity</t>
  </si>
  <si>
    <t xml:space="preserve">       </t>
  </si>
  <si>
    <t>Accumulated Surplus/(Deficit</t>
  </si>
  <si>
    <t xml:space="preserve">    Total Net Assets/Equity</t>
  </si>
  <si>
    <t>TOTAL LIABILITIES AND NET ASSETS/EQUITY</t>
  </si>
  <si>
    <t>MINES AND GEOSCIENCES BUREAU -7</t>
  </si>
  <si>
    <t>STATEMENT OF CHANGES IN NET ASSETS/EQUITY (All Funds)</t>
  </si>
  <si>
    <t>Balance at January 1, 2015</t>
  </si>
  <si>
    <t>Changes in accounting policy</t>
  </si>
  <si>
    <t>Prior Period Adjustments (cancelled check)</t>
  </si>
  <si>
    <t>Restated balance</t>
  </si>
  <si>
    <t>Changes in Net Assets/Equity for the Calendar Year</t>
  </si>
  <si>
    <t>Collection deposited to National Treasury</t>
  </si>
  <si>
    <t>Surplus for the period</t>
  </si>
  <si>
    <t>Total recognized revenue and expenses for the period</t>
  </si>
  <si>
    <t>ok</t>
  </si>
  <si>
    <t>cancelled check</t>
  </si>
  <si>
    <t>oct</t>
  </si>
  <si>
    <t>canclled check</t>
  </si>
  <si>
    <t>nov</t>
  </si>
  <si>
    <t>sept</t>
  </si>
  <si>
    <t>Purchase of PPE</t>
  </si>
  <si>
    <t>Purchase of supplies</t>
  </si>
  <si>
    <t>ALL FUNDS</t>
  </si>
  <si>
    <t>FUND 151</t>
  </si>
  <si>
    <t>FUND 101</t>
  </si>
  <si>
    <t>LBP ADA</t>
  </si>
  <si>
    <t>LBP check</t>
  </si>
  <si>
    <t>pvb-AP</t>
  </si>
  <si>
    <t>PVB ADA</t>
  </si>
  <si>
    <t>pvb</t>
  </si>
  <si>
    <t>LBP-CHECK</t>
  </si>
  <si>
    <t>LBP-ADA</t>
  </si>
  <si>
    <t>pvb check</t>
  </si>
  <si>
    <t>LBP</t>
  </si>
  <si>
    <t>pvb ada</t>
  </si>
  <si>
    <t>GRAND TOTAL</t>
  </si>
  <si>
    <t>TOTAL</t>
  </si>
  <si>
    <t>DECEMBER</t>
  </si>
  <si>
    <t>NOV</t>
  </si>
  <si>
    <t>OCT</t>
  </si>
  <si>
    <t>Receipt of documentary stamp tax</t>
  </si>
  <si>
    <t>counter checking</t>
  </si>
  <si>
    <t>expired portion to MOOE</t>
  </si>
  <si>
    <t>issued supplies to MOOE</t>
  </si>
  <si>
    <t>Prior Period Adjustments( for income account)</t>
  </si>
  <si>
    <t>reclass Subsidy from Other GA to SING</t>
  </si>
  <si>
    <t>Due from Officers and Employees</t>
  </si>
  <si>
    <t>Prior Period Adjustments( Collection of COA-ND on Appeal)</t>
  </si>
  <si>
    <t>Balance at December 31</t>
  </si>
  <si>
    <t>Refund of Unused Cash Advance</t>
  </si>
  <si>
    <t xml:space="preserve"> Refund due to COA Disallowances on Appeal</t>
  </si>
  <si>
    <t>Proceeds from the of Sale of Bidding Documents</t>
  </si>
  <si>
    <t xml:space="preserve">Receipt of Bid Securities </t>
  </si>
  <si>
    <t>Cash and Cash Equivalents, December 31</t>
  </si>
  <si>
    <t>Cash and Cash Equivalents, January 1</t>
  </si>
  <si>
    <t>Balance at January 1</t>
  </si>
  <si>
    <t>STATEMENT OF CHANGES IN NET ASSETS/EQUITY (151)</t>
  </si>
  <si>
    <t>STATEMENT OF CHANGES IN NET ASSETS/EQUITY (Fund 101)</t>
  </si>
  <si>
    <t>DETAILED STATEMENT OF FINANCIAL POSITION ( Fund 151)</t>
  </si>
  <si>
    <t>Annex E</t>
  </si>
  <si>
    <t>STATEMENT OF COMPARISON OF BUDGET AND ACTUAL AMOUNT</t>
  </si>
  <si>
    <t>FUND 01 1 01 101</t>
  </si>
  <si>
    <t>(in thousand peso)</t>
  </si>
  <si>
    <t>Particulars</t>
  </si>
  <si>
    <t>Budgeted Amount</t>
  </si>
  <si>
    <t>Actual Amounts on Comparable Basis</t>
  </si>
  <si>
    <t>Difference Final Budget and Actual</t>
  </si>
  <si>
    <t>Original</t>
  </si>
  <si>
    <t>Final</t>
  </si>
  <si>
    <t>RECEIPTS</t>
  </si>
  <si>
    <t>Services and Business Income</t>
  </si>
  <si>
    <t>Assistance and Subsidy</t>
  </si>
  <si>
    <t>Shares, Grants and Donations</t>
  </si>
  <si>
    <t>Gains</t>
  </si>
  <si>
    <t>Other Non-Operating Income</t>
  </si>
  <si>
    <t>Other Non-Operating Receipts</t>
  </si>
  <si>
    <t>Refund of Petty Cash and Advances</t>
  </si>
  <si>
    <t>Others</t>
  </si>
  <si>
    <t>PAYMENTS</t>
  </si>
  <si>
    <t>Personnel Services</t>
  </si>
  <si>
    <t>Capital Outlay</t>
  </si>
  <si>
    <t>Financial Expenses</t>
  </si>
  <si>
    <t>Other Disbursements</t>
  </si>
  <si>
    <t xml:space="preserve">Others </t>
  </si>
  <si>
    <t>NET RECEIPTS/PAYMENT</t>
  </si>
  <si>
    <t>PEDRO P. SEMBLANTE, JR.</t>
  </si>
  <si>
    <t>Budget Officer II</t>
  </si>
  <si>
    <t>Republic of the Philippines</t>
  </si>
  <si>
    <t>Mines and Geosciences Bureau - VII</t>
  </si>
  <si>
    <t>Banilad, Mandaue City</t>
  </si>
  <si>
    <t>Trial Balance</t>
  </si>
  <si>
    <t>Accounts</t>
  </si>
  <si>
    <t>Account Codes</t>
  </si>
  <si>
    <t>DEBIT</t>
  </si>
  <si>
    <t>CREDIT</t>
  </si>
  <si>
    <t>10104070 00</t>
  </si>
  <si>
    <t>Supervision and Regulation Enforcement Fees</t>
  </si>
  <si>
    <t>40201070 01</t>
  </si>
  <si>
    <t>Miscellaneous Income</t>
  </si>
  <si>
    <t>40609990 00</t>
  </si>
  <si>
    <t>TOTALS</t>
  </si>
  <si>
    <t>REVENUES</t>
  </si>
  <si>
    <t>SERVICE INCOME</t>
  </si>
  <si>
    <t xml:space="preserve">Miscellaneous Income </t>
  </si>
  <si>
    <t>TOTAL SERVICE INCOME</t>
  </si>
  <si>
    <t>BUSINESS INCOME</t>
  </si>
  <si>
    <t>TOTAL BUSINESS INCOME</t>
  </si>
  <si>
    <t>TOTAL REVENUE</t>
  </si>
  <si>
    <t>CURRENT OPERATING EXPENSES</t>
  </si>
  <si>
    <t>PERSONNEL SERVICES</t>
  </si>
  <si>
    <t>TOTAL PERSONNEL SERVICES EXPENSES</t>
  </si>
  <si>
    <t>MAINTENANCE AND OTHER OPERATING EXPENSES</t>
  </si>
  <si>
    <t>TOTAL MAINTENANCE AND OTHER OPERATING EXPENSES</t>
  </si>
  <si>
    <t>NONCASH EXPENSES</t>
  </si>
  <si>
    <t>TOTAL NONCASH EXPENSES</t>
  </si>
  <si>
    <t>TOTAL CURRENT OPERATING EXPENSES</t>
  </si>
  <si>
    <t>TOTAL CURRENT OPERATING SURPLUS</t>
  </si>
  <si>
    <t>ASSISTANCE AND SUBSIDY</t>
  </si>
  <si>
    <t>TOTAL NET ASSISTANCE AND SUBSIDY</t>
  </si>
  <si>
    <t>SURPLUS FOR THE CURRENT PERIOD</t>
  </si>
  <si>
    <t>For the Quarter Ended March 31, 2016</t>
  </si>
  <si>
    <t>Detailed Statement of Financial Peformance</t>
  </si>
  <si>
    <t>Condensed Statement of Financial Peformance</t>
  </si>
  <si>
    <t>NET ASSISTANCE AND SUBSIDY</t>
  </si>
  <si>
    <t>Assets</t>
  </si>
  <si>
    <t>Current Assets</t>
  </si>
  <si>
    <t>Cash and Cash Equivalents</t>
  </si>
  <si>
    <t>Cash - Tax Remittance Advice</t>
  </si>
  <si>
    <t>Receivables</t>
  </si>
  <si>
    <t>Inventories</t>
  </si>
  <si>
    <t>Other Current Assets</t>
  </si>
  <si>
    <t>Total Current Assets</t>
  </si>
  <si>
    <t>Noncurrent Assets</t>
  </si>
  <si>
    <t>Property, Plant and Equipment</t>
  </si>
  <si>
    <t>Intangible Assets</t>
  </si>
  <si>
    <t>Total Noncurrent Assets</t>
  </si>
  <si>
    <t>TOTAL ASSETS</t>
  </si>
  <si>
    <t>Current Liabilities</t>
  </si>
  <si>
    <t>Financial Liabilities</t>
  </si>
  <si>
    <t>Inter-Agency Payables</t>
  </si>
  <si>
    <t>Total Current Liabilities</t>
  </si>
  <si>
    <t>Noncurrent Liabilities</t>
  </si>
  <si>
    <t>Total Noncurrent Liabilities</t>
  </si>
  <si>
    <t>TOTAL LIABILITIES</t>
  </si>
  <si>
    <t>Net Assets</t>
  </si>
  <si>
    <t>TOTAL NET ASSETS</t>
  </si>
  <si>
    <t>TOTAL LIABILITIES AND NET ASSETS</t>
  </si>
  <si>
    <t>Detailed Statement of Financial Position</t>
  </si>
  <si>
    <t>As of March 31, 2016</t>
  </si>
  <si>
    <t>Condensed Statement of Financial Position</t>
  </si>
  <si>
    <t>Prior Period Adjustments( receipt of PPE from MGB Central Office)</t>
  </si>
  <si>
    <t>Balance at March 31</t>
  </si>
  <si>
    <t>Detailed Statement of Financial Position (Fund 151)</t>
  </si>
  <si>
    <t>Balance at January 1, 2016</t>
  </si>
  <si>
    <t>Remittance to BIR (DST Collection)</t>
  </si>
  <si>
    <t>gross purchase</t>
  </si>
  <si>
    <t>supp used</t>
  </si>
  <si>
    <t>FOR THE QUARTER ENDED MARCH 31, 2016</t>
  </si>
  <si>
    <t>(Sgd.) AIRA L. TORREGOSA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</si>
</sst>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(&quot;$&quot;* #,##0.00_);_(&quot;$&quot;* \(#,##0.00\);_(&quot;$&quot;* &quot;-&quot;??_);_(@_)"/>
    <numFmt numFmtId="165" formatCode="_(* #,##0.00_);_(* \(#,##0.00\);_(* \-??_);_(@_)"/>
    <numFmt numFmtId="166" formatCode="#,##0,"/>
    <numFmt numFmtId="167" formatCode="[$-409]mmmm\ d\,\ yyyy;@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u/>
      <sz val="9"/>
      <name val="Arial Narrow"/>
      <family val="2"/>
    </font>
    <font>
      <sz val="8"/>
      <name val="Arial Narrow"/>
      <family val="2"/>
    </font>
    <font>
      <b/>
      <u/>
      <sz val="9"/>
      <name val="Arial Narrow"/>
      <family val="2"/>
    </font>
    <font>
      <sz val="5"/>
      <name val="Arial Narrow"/>
      <family val="2"/>
    </font>
    <font>
      <sz val="10"/>
      <name val="Tahoma"/>
      <family val="2"/>
    </font>
    <font>
      <sz val="12"/>
      <name val="Arial"/>
      <family val="2"/>
    </font>
    <font>
      <sz val="11"/>
      <name val="Arial Narrow"/>
      <family val="2"/>
    </font>
    <font>
      <u/>
      <sz val="10"/>
      <name val="Arial Narrow"/>
      <family val="2"/>
    </font>
    <font>
      <b/>
      <sz val="12"/>
      <name val="Arial Narrow"/>
      <family val="2"/>
    </font>
    <font>
      <u val="singleAccounting"/>
      <sz val="10"/>
      <name val="Arial Narrow"/>
      <family val="2"/>
    </font>
    <font>
      <u val="doubleAccounting"/>
      <sz val="10"/>
      <name val="Arial Narrow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FF0000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9.5"/>
      <color theme="1"/>
      <name val="Calibri"/>
      <family val="2"/>
      <scheme val="minor"/>
    </font>
    <font>
      <b/>
      <sz val="9.5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.5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sz val="9"/>
      <color rgb="FFFF0000"/>
      <name val="Calibri"/>
      <family val="2"/>
      <scheme val="minor"/>
    </font>
    <font>
      <sz val="11"/>
      <color indexed="8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2">
    <xf numFmtId="0" fontId="0" fillId="0" borderId="0"/>
    <xf numFmtId="43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2" fillId="0" borderId="0"/>
    <xf numFmtId="0" fontId="14" fillId="0" borderId="0"/>
    <xf numFmtId="0" fontId="2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</cellStyleXfs>
  <cellXfs count="341">
    <xf numFmtId="0" fontId="0" fillId="0" borderId="0" xfId="0"/>
    <xf numFmtId="0" fontId="21" fillId="0" borderId="0" xfId="0" applyFont="1"/>
    <xf numFmtId="0" fontId="21" fillId="0" borderId="0" xfId="0" applyFont="1" applyAlignment="1">
      <alignment horizontal="center"/>
    </xf>
    <xf numFmtId="43" fontId="21" fillId="2" borderId="1" xfId="1" applyFont="1" applyFill="1" applyBorder="1"/>
    <xf numFmtId="43" fontId="21" fillId="2" borderId="2" xfId="1" applyFont="1" applyFill="1" applyBorder="1"/>
    <xf numFmtId="43" fontId="21" fillId="3" borderId="1" xfId="1" applyFont="1" applyFill="1" applyBorder="1"/>
    <xf numFmtId="43" fontId="21" fillId="3" borderId="2" xfId="1" applyFont="1" applyFill="1" applyBorder="1"/>
    <xf numFmtId="0" fontId="21" fillId="0" borderId="0" xfId="0" applyFont="1" applyAlignment="1"/>
    <xf numFmtId="0" fontId="22" fillId="0" borderId="0" xfId="0" applyFont="1" applyAlignment="1">
      <alignment wrapText="1"/>
    </xf>
    <xf numFmtId="0" fontId="0" fillId="0" borderId="3" xfId="0" applyBorder="1"/>
    <xf numFmtId="0" fontId="0" fillId="0" borderId="4" xfId="0" applyBorder="1"/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43" fontId="21" fillId="2" borderId="6" xfId="1" applyFont="1" applyFill="1" applyBorder="1" applyAlignment="1">
      <alignment horizontal="center"/>
    </xf>
    <xf numFmtId="43" fontId="21" fillId="3" borderId="0" xfId="1" applyFont="1" applyFill="1" applyBorder="1"/>
    <xf numFmtId="43" fontId="21" fillId="2" borderId="5" xfId="1" applyFont="1" applyFill="1" applyBorder="1" applyAlignment="1">
      <alignment horizontal="center"/>
    </xf>
    <xf numFmtId="43" fontId="20" fillId="2" borderId="7" xfId="1" applyFont="1" applyFill="1" applyBorder="1"/>
    <xf numFmtId="43" fontId="20" fillId="2" borderId="4" xfId="1" applyFont="1" applyFill="1" applyBorder="1"/>
    <xf numFmtId="43" fontId="20" fillId="2" borderId="8" xfId="1" applyFont="1" applyFill="1" applyBorder="1"/>
    <xf numFmtId="43" fontId="20" fillId="2" borderId="3" xfId="1" applyFont="1" applyFill="1" applyBorder="1"/>
    <xf numFmtId="43" fontId="21" fillId="3" borderId="5" xfId="1" applyFont="1" applyFill="1" applyBorder="1" applyAlignment="1">
      <alignment horizontal="center"/>
    </xf>
    <xf numFmtId="43" fontId="21" fillId="3" borderId="6" xfId="1" applyFont="1" applyFill="1" applyBorder="1" applyAlignment="1">
      <alignment horizontal="center"/>
    </xf>
    <xf numFmtId="43" fontId="20" fillId="3" borderId="7" xfId="1" applyFont="1" applyFill="1" applyBorder="1"/>
    <xf numFmtId="43" fontId="20" fillId="3" borderId="4" xfId="1" applyFont="1" applyFill="1" applyBorder="1"/>
    <xf numFmtId="43" fontId="20" fillId="3" borderId="8" xfId="1" applyFont="1" applyFill="1" applyBorder="1"/>
    <xf numFmtId="43" fontId="20" fillId="3" borderId="3" xfId="1" applyFont="1" applyFill="1" applyBorder="1"/>
    <xf numFmtId="43" fontId="20" fillId="3" borderId="9" xfId="1" applyFont="1" applyFill="1" applyBorder="1"/>
    <xf numFmtId="43" fontId="20" fillId="3" borderId="10" xfId="1" applyFont="1" applyFill="1" applyBorder="1"/>
    <xf numFmtId="43" fontId="20" fillId="3" borderId="11" xfId="1" applyFont="1" applyFill="1" applyBorder="1"/>
    <xf numFmtId="0" fontId="0" fillId="0" borderId="0" xfId="0" applyFill="1" applyBorder="1"/>
    <xf numFmtId="43" fontId="20" fillId="0" borderId="0" xfId="1" applyFont="1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21" fillId="0" borderId="0" xfId="0" applyFont="1" applyFill="1" applyBorder="1"/>
    <xf numFmtId="0" fontId="23" fillId="4" borderId="12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 wrapText="1"/>
    </xf>
    <xf numFmtId="43" fontId="21" fillId="5" borderId="0" xfId="1" applyFont="1" applyFill="1" applyBorder="1"/>
    <xf numFmtId="43" fontId="21" fillId="5" borderId="2" xfId="1" applyFont="1" applyFill="1" applyBorder="1"/>
    <xf numFmtId="43" fontId="21" fillId="5" borderId="1" xfId="1" applyFont="1" applyFill="1" applyBorder="1"/>
    <xf numFmtId="43" fontId="21" fillId="5" borderId="5" xfId="1" applyFont="1" applyFill="1" applyBorder="1" applyAlignment="1">
      <alignment horizontal="center"/>
    </xf>
    <xf numFmtId="43" fontId="21" fillId="5" borderId="6" xfId="1" applyFont="1" applyFill="1" applyBorder="1" applyAlignment="1">
      <alignment horizontal="center"/>
    </xf>
    <xf numFmtId="43" fontId="20" fillId="5" borderId="7" xfId="1" applyFont="1" applyFill="1" applyBorder="1"/>
    <xf numFmtId="43" fontId="20" fillId="5" borderId="4" xfId="1" applyFont="1" applyFill="1" applyBorder="1"/>
    <xf numFmtId="43" fontId="20" fillId="5" borderId="8" xfId="1" applyFont="1" applyFill="1" applyBorder="1"/>
    <xf numFmtId="43" fontId="20" fillId="5" borderId="3" xfId="1" applyFont="1" applyFill="1" applyBorder="1"/>
    <xf numFmtId="43" fontId="20" fillId="5" borderId="13" xfId="1" applyFont="1" applyFill="1" applyBorder="1"/>
    <xf numFmtId="43" fontId="20" fillId="5" borderId="14" xfId="1" applyFont="1" applyFill="1" applyBorder="1"/>
    <xf numFmtId="43" fontId="20" fillId="3" borderId="13" xfId="1" applyFont="1" applyFill="1" applyBorder="1"/>
    <xf numFmtId="43" fontId="20" fillId="3" borderId="14" xfId="1" applyFont="1" applyFill="1" applyBorder="1"/>
    <xf numFmtId="43" fontId="20" fillId="3" borderId="15" xfId="1" applyFont="1" applyFill="1" applyBorder="1"/>
    <xf numFmtId="43" fontId="20" fillId="2" borderId="13" xfId="1" applyFont="1" applyFill="1" applyBorder="1"/>
    <xf numFmtId="43" fontId="20" fillId="2" borderId="14" xfId="1" applyFont="1" applyFill="1" applyBorder="1"/>
    <xf numFmtId="0" fontId="21" fillId="4" borderId="5" xfId="0" applyFon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43" fontId="20" fillId="0" borderId="15" xfId="1" applyFont="1" applyFill="1" applyBorder="1"/>
    <xf numFmtId="43" fontId="5" fillId="0" borderId="0" xfId="2" applyFont="1" applyFill="1"/>
    <xf numFmtId="0" fontId="5" fillId="0" borderId="0" xfId="14" applyFont="1"/>
    <xf numFmtId="43" fontId="5" fillId="0" borderId="0" xfId="2" applyFont="1"/>
    <xf numFmtId="43" fontId="5" fillId="0" borderId="0" xfId="14" applyNumberFormat="1" applyFont="1" applyFill="1" applyBorder="1"/>
    <xf numFmtId="0" fontId="5" fillId="0" borderId="0" xfId="14" applyFont="1" applyAlignment="1">
      <alignment horizontal="left" indent="2"/>
    </xf>
    <xf numFmtId="43" fontId="5" fillId="0" borderId="9" xfId="14" applyNumberFormat="1" applyFont="1" applyFill="1" applyBorder="1"/>
    <xf numFmtId="0" fontId="5" fillId="0" borderId="0" xfId="14" applyFont="1" applyAlignment="1">
      <alignment horizontal="left"/>
    </xf>
    <xf numFmtId="43" fontId="5" fillId="0" borderId="0" xfId="2" applyFont="1" applyFill="1" applyBorder="1"/>
    <xf numFmtId="43" fontId="5" fillId="6" borderId="0" xfId="2" applyFont="1" applyFill="1" applyBorder="1"/>
    <xf numFmtId="43" fontId="5" fillId="0" borderId="9" xfId="2" applyFont="1" applyFill="1" applyBorder="1"/>
    <xf numFmtId="43" fontId="5" fillId="6" borderId="9" xfId="2" applyFont="1" applyFill="1" applyBorder="1"/>
    <xf numFmtId="43" fontId="5" fillId="4" borderId="0" xfId="2" applyFont="1" applyFill="1"/>
    <xf numFmtId="43" fontId="3" fillId="0" borderId="10" xfId="2" applyFont="1" applyFill="1" applyBorder="1"/>
    <xf numFmtId="43" fontId="3" fillId="6" borderId="10" xfId="2" applyFont="1" applyFill="1" applyBorder="1"/>
    <xf numFmtId="43" fontId="5" fillId="7" borderId="0" xfId="2" applyFont="1" applyFill="1"/>
    <xf numFmtId="43" fontId="5" fillId="6" borderId="0" xfId="2" applyFont="1" applyFill="1"/>
    <xf numFmtId="43" fontId="5" fillId="8" borderId="0" xfId="2" applyFont="1" applyFill="1"/>
    <xf numFmtId="43" fontId="20" fillId="5" borderId="8" xfId="1" applyFont="1" applyFill="1" applyBorder="1"/>
    <xf numFmtId="43" fontId="20" fillId="0" borderId="0" xfId="1" applyFont="1" applyFill="1" applyBorder="1"/>
    <xf numFmtId="0" fontId="6" fillId="0" borderId="0" xfId="18" applyFont="1" applyFill="1"/>
    <xf numFmtId="0" fontId="6" fillId="0" borderId="0" xfId="18" applyFont="1"/>
    <xf numFmtId="0" fontId="6" fillId="0" borderId="0" xfId="18" applyFont="1" applyBorder="1"/>
    <xf numFmtId="0" fontId="7" fillId="0" borderId="0" xfId="18" applyFont="1" applyBorder="1"/>
    <xf numFmtId="43" fontId="6" fillId="0" borderId="0" xfId="18" applyNumberFormat="1" applyFont="1" applyFill="1" applyBorder="1"/>
    <xf numFmtId="43" fontId="6" fillId="0" borderId="9" xfId="18" applyNumberFormat="1" applyFont="1" applyFill="1" applyBorder="1"/>
    <xf numFmtId="43" fontId="5" fillId="0" borderId="9" xfId="18" applyNumberFormat="1" applyFont="1" applyFill="1" applyBorder="1"/>
    <xf numFmtId="0" fontId="6" fillId="0" borderId="0" xfId="18" applyFont="1" applyFill="1" applyBorder="1"/>
    <xf numFmtId="43" fontId="6" fillId="0" borderId="9" xfId="2" applyFont="1" applyFill="1" applyBorder="1"/>
    <xf numFmtId="43" fontId="6" fillId="0" borderId="10" xfId="2" applyFont="1" applyFill="1" applyBorder="1"/>
    <xf numFmtId="43" fontId="6" fillId="0" borderId="0" xfId="2" applyFont="1" applyFill="1"/>
    <xf numFmtId="43" fontId="6" fillId="0" borderId="0" xfId="2" applyFont="1" applyFill="1" applyBorder="1"/>
    <xf numFmtId="0" fontId="7" fillId="0" borderId="0" xfId="18" applyFont="1"/>
    <xf numFmtId="43" fontId="7" fillId="0" borderId="0" xfId="2" applyFont="1" applyFill="1" applyBorder="1"/>
    <xf numFmtId="0" fontId="3" fillId="0" borderId="0" xfId="18" applyFont="1"/>
    <xf numFmtId="43" fontId="7" fillId="0" borderId="16" xfId="2" applyFont="1" applyFill="1" applyBorder="1"/>
    <xf numFmtId="0" fontId="5" fillId="0" borderId="0" xfId="18" applyFont="1"/>
    <xf numFmtId="0" fontId="5" fillId="0" borderId="0" xfId="18" applyFont="1" applyAlignment="1">
      <alignment horizontal="center"/>
    </xf>
    <xf numFmtId="0" fontId="9" fillId="0" borderId="0" xfId="18" applyFont="1" applyAlignment="1">
      <alignment horizontal="center" vertical="center"/>
    </xf>
    <xf numFmtId="43" fontId="6" fillId="0" borderId="0" xfId="2" applyFont="1"/>
    <xf numFmtId="0" fontId="7" fillId="0" borderId="0" xfId="18" applyFont="1" applyAlignment="1">
      <alignment horizontal="left" indent="2"/>
    </xf>
    <xf numFmtId="43" fontId="7" fillId="0" borderId="9" xfId="2" applyFont="1" applyFill="1" applyBorder="1"/>
    <xf numFmtId="43" fontId="6" fillId="0" borderId="0" xfId="2" applyFont="1" applyBorder="1"/>
    <xf numFmtId="0" fontId="6" fillId="0" borderId="0" xfId="18" applyFont="1" applyAlignment="1">
      <alignment horizontal="left" indent="2"/>
    </xf>
    <xf numFmtId="43" fontId="7" fillId="0" borderId="9" xfId="18" applyNumberFormat="1" applyFont="1" applyFill="1" applyBorder="1"/>
    <xf numFmtId="0" fontId="6" fillId="0" borderId="0" xfId="18" applyFont="1" applyAlignment="1">
      <alignment horizontal="left"/>
    </xf>
    <xf numFmtId="43" fontId="7" fillId="0" borderId="10" xfId="18" applyNumberFormat="1" applyFont="1" applyFill="1" applyBorder="1"/>
    <xf numFmtId="0" fontId="8" fillId="0" borderId="0" xfId="18" applyFont="1" applyAlignment="1">
      <alignment horizontal="left" indent="2"/>
    </xf>
    <xf numFmtId="0" fontId="8" fillId="0" borderId="0" xfId="18" applyFont="1" applyAlignment="1">
      <alignment horizontal="left"/>
    </xf>
    <xf numFmtId="43" fontId="8" fillId="0" borderId="9" xfId="2" applyFont="1" applyFill="1" applyBorder="1"/>
    <xf numFmtId="43" fontId="6" fillId="0" borderId="0" xfId="18" applyNumberFormat="1" applyFont="1" applyBorder="1"/>
    <xf numFmtId="0" fontId="5" fillId="0" borderId="0" xfId="18" applyFont="1" applyBorder="1"/>
    <xf numFmtId="43" fontId="5" fillId="0" borderId="0" xfId="18" applyNumberFormat="1" applyFont="1"/>
    <xf numFmtId="43" fontId="5" fillId="0" borderId="0" xfId="18" applyNumberFormat="1" applyFont="1" applyBorder="1"/>
    <xf numFmtId="43" fontId="10" fillId="0" borderId="0" xfId="18" applyNumberFormat="1" applyFont="1"/>
    <xf numFmtId="43" fontId="7" fillId="0" borderId="16" xfId="18" applyNumberFormat="1" applyFont="1" applyFill="1" applyBorder="1"/>
    <xf numFmtId="43" fontId="11" fillId="0" borderId="0" xfId="18" applyNumberFormat="1" applyFont="1" applyFill="1" applyBorder="1"/>
    <xf numFmtId="43" fontId="11" fillId="0" borderId="0" xfId="18" applyNumberFormat="1" applyFont="1" applyFill="1"/>
    <xf numFmtId="0" fontId="12" fillId="0" borderId="0" xfId="18" applyFont="1"/>
    <xf numFmtId="0" fontId="5" fillId="0" borderId="0" xfId="18" applyFont="1" applyFill="1"/>
    <xf numFmtId="0" fontId="3" fillId="0" borderId="0" xfId="18" applyFont="1" applyFill="1"/>
    <xf numFmtId="0" fontId="5" fillId="0" borderId="0" xfId="18" applyFont="1" applyBorder="1" applyAlignment="1">
      <alignment horizontal="center"/>
    </xf>
    <xf numFmtId="0" fontId="5" fillId="0" borderId="0" xfId="18" applyFont="1" applyFill="1" applyBorder="1" applyAlignment="1">
      <alignment horizontal="center"/>
    </xf>
    <xf numFmtId="0" fontId="12" fillId="0" borderId="0" xfId="18" applyFont="1" applyBorder="1"/>
    <xf numFmtId="0" fontId="11" fillId="0" borderId="0" xfId="18" applyFont="1" applyFill="1" applyBorder="1"/>
    <xf numFmtId="43" fontId="5" fillId="0" borderId="0" xfId="18" applyNumberFormat="1" applyFont="1" applyFill="1" applyBorder="1"/>
    <xf numFmtId="0" fontId="5" fillId="0" borderId="0" xfId="18" applyFont="1" applyAlignment="1">
      <alignment horizontal="left" indent="2"/>
    </xf>
    <xf numFmtId="0" fontId="3" fillId="0" borderId="0" xfId="18" applyFont="1" applyAlignment="1">
      <alignment horizontal="left" indent="2"/>
    </xf>
    <xf numFmtId="43" fontId="3" fillId="0" borderId="10" xfId="18" applyNumberFormat="1" applyFont="1" applyFill="1" applyBorder="1"/>
    <xf numFmtId="43" fontId="5" fillId="0" borderId="9" xfId="2" applyFont="1" applyBorder="1"/>
    <xf numFmtId="43" fontId="3" fillId="0" borderId="0" xfId="2" applyFont="1"/>
    <xf numFmtId="43" fontId="3" fillId="0" borderId="16" xfId="2" applyFont="1" applyBorder="1"/>
    <xf numFmtId="43" fontId="13" fillId="0" borderId="0" xfId="18" applyNumberFormat="1" applyFont="1" applyFill="1" applyBorder="1"/>
    <xf numFmtId="0" fontId="15" fillId="0" borderId="0" xfId="15" applyFont="1"/>
    <xf numFmtId="43" fontId="15" fillId="0" borderId="0" xfId="3" applyFont="1"/>
    <xf numFmtId="43" fontId="15" fillId="0" borderId="0" xfId="15" applyNumberFormat="1" applyFont="1"/>
    <xf numFmtId="43" fontId="15" fillId="3" borderId="0" xfId="3" applyFont="1" applyFill="1"/>
    <xf numFmtId="43" fontId="15" fillId="9" borderId="0" xfId="3" applyFont="1" applyFill="1"/>
    <xf numFmtId="43" fontId="15" fillId="0" borderId="0" xfId="3" applyFont="1" applyAlignment="1">
      <alignment horizontal="left" indent="2"/>
    </xf>
    <xf numFmtId="43" fontId="15" fillId="0" borderId="0" xfId="3" applyFont="1" applyBorder="1"/>
    <xf numFmtId="43" fontId="15" fillId="0" borderId="0" xfId="3" applyFont="1" applyAlignment="1">
      <alignment horizontal="left"/>
    </xf>
    <xf numFmtId="0" fontId="15" fillId="3" borderId="0" xfId="15" applyFont="1" applyFill="1"/>
    <xf numFmtId="0" fontId="15" fillId="9" borderId="0" xfId="15" applyFont="1" applyFill="1" applyAlignment="1">
      <alignment horizontal="center"/>
    </xf>
    <xf numFmtId="0" fontId="15" fillId="10" borderId="0" xfId="15" applyFont="1" applyFill="1"/>
    <xf numFmtId="0" fontId="15" fillId="0" borderId="0" xfId="15" applyFont="1" applyAlignment="1">
      <alignment horizontal="center"/>
    </xf>
    <xf numFmtId="0" fontId="5" fillId="6" borderId="0" xfId="18" applyFont="1" applyFill="1" applyBorder="1"/>
    <xf numFmtId="0" fontId="5" fillId="0" borderId="0" xfId="18" applyFont="1" applyFill="1" applyBorder="1"/>
    <xf numFmtId="43" fontId="5" fillId="6" borderId="0" xfId="18" applyNumberFormat="1" applyFont="1" applyFill="1" applyBorder="1"/>
    <xf numFmtId="43" fontId="6" fillId="6" borderId="0" xfId="18" applyNumberFormat="1" applyFont="1" applyFill="1" applyBorder="1"/>
    <xf numFmtId="43" fontId="7" fillId="6" borderId="0" xfId="18" applyNumberFormat="1" applyFont="1" applyFill="1" applyBorder="1"/>
    <xf numFmtId="43" fontId="7" fillId="0" borderId="0" xfId="18" applyNumberFormat="1" applyFont="1" applyFill="1" applyBorder="1"/>
    <xf numFmtId="43" fontId="6" fillId="0" borderId="0" xfId="18" applyNumberFormat="1" applyFont="1" applyFill="1" applyBorder="1" applyAlignment="1">
      <alignment horizontal="right"/>
    </xf>
    <xf numFmtId="43" fontId="3" fillId="6" borderId="16" xfId="18" applyNumberFormat="1" applyFont="1" applyFill="1" applyBorder="1"/>
    <xf numFmtId="43" fontId="3" fillId="0" borderId="16" xfId="18" applyNumberFormat="1" applyFont="1" applyFill="1" applyBorder="1"/>
    <xf numFmtId="43" fontId="5" fillId="6" borderId="9" xfId="18" applyNumberFormat="1" applyFont="1" applyFill="1" applyBorder="1"/>
    <xf numFmtId="43" fontId="3" fillId="6" borderId="10" xfId="18" applyNumberFormat="1" applyFont="1" applyFill="1" applyBorder="1"/>
    <xf numFmtId="43" fontId="5" fillId="6" borderId="10" xfId="18" applyNumberFormat="1" applyFont="1" applyFill="1" applyBorder="1"/>
    <xf numFmtId="43" fontId="5" fillId="0" borderId="10" xfId="18" applyNumberFormat="1" applyFont="1" applyFill="1" applyBorder="1"/>
    <xf numFmtId="43" fontId="5" fillId="6" borderId="0" xfId="18" applyNumberFormat="1" applyFont="1" applyFill="1" applyBorder="1" applyAlignment="1">
      <alignment vertical="center"/>
    </xf>
    <xf numFmtId="0" fontId="3" fillId="0" borderId="0" xfId="18" applyFont="1" applyBorder="1"/>
    <xf numFmtId="0" fontId="5" fillId="0" borderId="0" xfId="18" applyFont="1" applyAlignment="1">
      <alignment horizontal="left"/>
    </xf>
    <xf numFmtId="0" fontId="5" fillId="6" borderId="0" xfId="18" applyFont="1" applyFill="1"/>
    <xf numFmtId="43" fontId="5" fillId="0" borderId="0" xfId="18" applyNumberFormat="1" applyFont="1" applyFill="1" applyBorder="1" applyAlignment="1">
      <alignment vertical="center"/>
    </xf>
    <xf numFmtId="0" fontId="24" fillId="0" borderId="0" xfId="18" applyFont="1"/>
    <xf numFmtId="43" fontId="5" fillId="0" borderId="0" xfId="1" applyFont="1"/>
    <xf numFmtId="0" fontId="16" fillId="0" borderId="0" xfId="18" applyFont="1" applyBorder="1" applyAlignment="1">
      <alignment horizontal="center"/>
    </xf>
    <xf numFmtId="43" fontId="5" fillId="0" borderId="0" xfId="1" applyFont="1" applyBorder="1"/>
    <xf numFmtId="0" fontId="25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3" fillId="0" borderId="1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0" fontId="5" fillId="0" borderId="0" xfId="0" applyFont="1" applyBorder="1"/>
    <xf numFmtId="43" fontId="5" fillId="0" borderId="0" xfId="1" applyFont="1" applyBorder="1" applyAlignment="1">
      <alignment horizontal="center"/>
    </xf>
    <xf numFmtId="0" fontId="24" fillId="0" borderId="0" xfId="0" applyFont="1" applyBorder="1"/>
    <xf numFmtId="0" fontId="26" fillId="0" borderId="0" xfId="0" applyFont="1"/>
    <xf numFmtId="43" fontId="18" fillId="0" borderId="9" xfId="1" applyFont="1" applyBorder="1" applyAlignment="1">
      <alignment horizontal="center"/>
    </xf>
    <xf numFmtId="43" fontId="5" fillId="0" borderId="9" xfId="1" applyFont="1" applyBorder="1" applyAlignment="1">
      <alignment horizontal="center"/>
    </xf>
    <xf numFmtId="43" fontId="18" fillId="0" borderId="0" xfId="1" applyFont="1" applyBorder="1" applyAlignment="1">
      <alignment horizontal="center"/>
    </xf>
    <xf numFmtId="43" fontId="19" fillId="0" borderId="0" xfId="1" applyFont="1" applyBorder="1" applyAlignment="1">
      <alignment horizontal="center"/>
    </xf>
    <xf numFmtId="166" fontId="5" fillId="0" borderId="0" xfId="1" applyNumberFormat="1" applyFont="1" applyBorder="1" applyAlignment="1">
      <alignment horizontal="center"/>
    </xf>
    <xf numFmtId="0" fontId="5" fillId="0" borderId="0" xfId="0" applyFont="1" applyAlignment="1"/>
    <xf numFmtId="43" fontId="0" fillId="0" borderId="0" xfId="0" applyNumberFormat="1"/>
    <xf numFmtId="43" fontId="20" fillId="0" borderId="0" xfId="1" applyFont="1"/>
    <xf numFmtId="0" fontId="27" fillId="0" borderId="0" xfId="0" applyFont="1"/>
    <xf numFmtId="43" fontId="27" fillId="0" borderId="0" xfId="1" applyFont="1"/>
    <xf numFmtId="0" fontId="0" fillId="0" borderId="0" xfId="0" applyAlignment="1">
      <alignment horizontal="center"/>
    </xf>
    <xf numFmtId="49" fontId="27" fillId="0" borderId="0" xfId="0" applyNumberFormat="1" applyFont="1" applyAlignment="1">
      <alignment horizontal="center"/>
    </xf>
    <xf numFmtId="43" fontId="30" fillId="0" borderId="15" xfId="1" applyFont="1" applyBorder="1"/>
    <xf numFmtId="43" fontId="30" fillId="0" borderId="0" xfId="1" applyFont="1"/>
    <xf numFmtId="14" fontId="27" fillId="0" borderId="0" xfId="0" applyNumberFormat="1" applyFont="1"/>
    <xf numFmtId="0" fontId="31" fillId="0" borderId="0" xfId="0" applyFont="1"/>
    <xf numFmtId="14" fontId="27" fillId="0" borderId="0" xfId="0" applyNumberFormat="1" applyFont="1" applyAlignment="1">
      <alignment horizontal="center"/>
    </xf>
    <xf numFmtId="0" fontId="27" fillId="0" borderId="0" xfId="0" applyFont="1" applyAlignment="1">
      <alignment horizontal="center"/>
    </xf>
    <xf numFmtId="0" fontId="28" fillId="0" borderId="0" xfId="0" applyFont="1"/>
    <xf numFmtId="49" fontId="31" fillId="0" borderId="0" xfId="0" applyNumberFormat="1" applyFont="1"/>
    <xf numFmtId="0" fontId="27" fillId="0" borderId="0" xfId="0" applyFont="1" applyAlignment="1">
      <alignment horizontal="left" indent="1"/>
    </xf>
    <xf numFmtId="43" fontId="27" fillId="0" borderId="0" xfId="1" applyFont="1" applyFill="1"/>
    <xf numFmtId="0" fontId="28" fillId="0" borderId="0" xfId="0" applyFont="1" applyAlignment="1">
      <alignment horizontal="left" indent="3"/>
    </xf>
    <xf numFmtId="43" fontId="27" fillId="0" borderId="10" xfId="1" applyFont="1" applyBorder="1"/>
    <xf numFmtId="43" fontId="27" fillId="0" borderId="18" xfId="1" applyFont="1" applyBorder="1"/>
    <xf numFmtId="0" fontId="28" fillId="0" borderId="0" xfId="0" applyFont="1" applyAlignment="1">
      <alignment horizontal="right"/>
    </xf>
    <xf numFmtId="43" fontId="27" fillId="0" borderId="9" xfId="1" applyFont="1" applyBorder="1"/>
    <xf numFmtId="43" fontId="27" fillId="0" borderId="16" xfId="1" applyFont="1" applyBorder="1"/>
    <xf numFmtId="0" fontId="27" fillId="0" borderId="0" xfId="0" applyFont="1" applyAlignment="1"/>
    <xf numFmtId="43" fontId="27" fillId="0" borderId="0" xfId="1" applyFont="1" applyAlignment="1">
      <alignment horizontal="center"/>
    </xf>
    <xf numFmtId="0" fontId="28" fillId="0" borderId="0" xfId="0" applyFont="1" applyAlignment="1">
      <alignment horizontal="left"/>
    </xf>
    <xf numFmtId="0" fontId="30" fillId="0" borderId="0" xfId="0" applyFont="1"/>
    <xf numFmtId="14" fontId="30" fillId="0" borderId="0" xfId="0" applyNumberFormat="1" applyFont="1"/>
    <xf numFmtId="49" fontId="32" fillId="0" borderId="0" xfId="0" applyNumberFormat="1" applyFont="1"/>
    <xf numFmtId="167" fontId="30" fillId="0" borderId="0" xfId="0" applyNumberFormat="1" applyFont="1" applyAlignment="1">
      <alignment horizontal="center"/>
    </xf>
    <xf numFmtId="0" fontId="29" fillId="0" borderId="0" xfId="0" applyFont="1"/>
    <xf numFmtId="43" fontId="29" fillId="0" borderId="9" xfId="1" applyFont="1" applyBorder="1"/>
    <xf numFmtId="0" fontId="29" fillId="0" borderId="0" xfId="0" applyFont="1" applyAlignment="1">
      <alignment horizontal="right"/>
    </xf>
    <xf numFmtId="43" fontId="29" fillId="0" borderId="10" xfId="1" applyFont="1" applyBorder="1"/>
    <xf numFmtId="43" fontId="30" fillId="0" borderId="10" xfId="1" applyFont="1" applyBorder="1"/>
    <xf numFmtId="43" fontId="30" fillId="0" borderId="0" xfId="1" applyFont="1" applyBorder="1"/>
    <xf numFmtId="43" fontId="29" fillId="0" borderId="16" xfId="1" applyFont="1" applyBorder="1"/>
    <xf numFmtId="43" fontId="30" fillId="0" borderId="0" xfId="0" applyNumberFormat="1" applyFont="1"/>
    <xf numFmtId="0" fontId="30" fillId="0" borderId="0" xfId="0" applyFont="1" applyFill="1"/>
    <xf numFmtId="49" fontId="32" fillId="0" borderId="0" xfId="0" applyNumberFormat="1" applyFont="1" applyFill="1"/>
    <xf numFmtId="43" fontId="30" fillId="0" borderId="9" xfId="1" applyFont="1" applyFill="1" applyBorder="1"/>
    <xf numFmtId="0" fontId="30" fillId="0" borderId="0" xfId="0" applyFont="1" applyBorder="1"/>
    <xf numFmtId="43" fontId="30" fillId="0" borderId="9" xfId="1" applyFont="1" applyBorder="1"/>
    <xf numFmtId="43" fontId="30" fillId="0" borderId="18" xfId="1" applyFont="1" applyBorder="1"/>
    <xf numFmtId="0" fontId="34" fillId="0" borderId="0" xfId="18" applyFont="1"/>
    <xf numFmtId="0" fontId="35" fillId="0" borderId="0" xfId="18" applyFont="1" applyBorder="1" applyAlignment="1">
      <alignment horizontal="center"/>
    </xf>
    <xf numFmtId="43" fontId="34" fillId="0" borderId="0" xfId="2" applyFont="1"/>
    <xf numFmtId="0" fontId="34" fillId="0" borderId="0" xfId="18" applyFont="1" applyBorder="1"/>
    <xf numFmtId="43" fontId="34" fillId="0" borderId="0" xfId="18" applyNumberFormat="1" applyFont="1" applyFill="1" applyBorder="1"/>
    <xf numFmtId="43" fontId="34" fillId="0" borderId="0" xfId="1" applyFont="1" applyBorder="1"/>
    <xf numFmtId="43" fontId="34" fillId="0" borderId="0" xfId="18" applyNumberFormat="1" applyFont="1" applyBorder="1"/>
    <xf numFmtId="0" fontId="34" fillId="0" borderId="0" xfId="18" applyFont="1" applyAlignment="1">
      <alignment horizontal="left" indent="2"/>
    </xf>
    <xf numFmtId="0" fontId="36" fillId="0" borderId="0" xfId="18" applyFont="1"/>
    <xf numFmtId="43" fontId="34" fillId="0" borderId="9" xfId="18" applyNumberFormat="1" applyFont="1" applyFill="1" applyBorder="1"/>
    <xf numFmtId="0" fontId="33" fillId="0" borderId="0" xfId="18" applyFont="1" applyAlignment="1">
      <alignment horizontal="left" indent="2"/>
    </xf>
    <xf numFmtId="43" fontId="33" fillId="0" borderId="10" xfId="18" applyNumberFormat="1" applyFont="1" applyFill="1" applyBorder="1"/>
    <xf numFmtId="43" fontId="34" fillId="0" borderId="9" xfId="2" applyFont="1" applyBorder="1"/>
    <xf numFmtId="43" fontId="34" fillId="0" borderId="0" xfId="1" applyFont="1"/>
    <xf numFmtId="0" fontId="33" fillId="0" borderId="0" xfId="18" applyFont="1"/>
    <xf numFmtId="43" fontId="33" fillId="0" borderId="0" xfId="2" applyFont="1"/>
    <xf numFmtId="43" fontId="33" fillId="0" borderId="16" xfId="2" applyFont="1" applyBorder="1"/>
    <xf numFmtId="43" fontId="34" fillId="0" borderId="0" xfId="18" applyNumberFormat="1" applyFont="1"/>
    <xf numFmtId="0" fontId="38" fillId="0" borderId="0" xfId="18" applyFont="1"/>
    <xf numFmtId="0" fontId="39" fillId="0" borderId="0" xfId="18" applyFont="1" applyBorder="1" applyAlignment="1">
      <alignment horizontal="center"/>
    </xf>
    <xf numFmtId="43" fontId="38" fillId="0" borderId="0" xfId="2" applyFont="1"/>
    <xf numFmtId="0" fontId="38" fillId="0" borderId="0" xfId="18" applyFont="1" applyBorder="1"/>
    <xf numFmtId="43" fontId="38" fillId="0" borderId="0" xfId="18" applyNumberFormat="1" applyFont="1" applyFill="1" applyBorder="1"/>
    <xf numFmtId="43" fontId="38" fillId="0" borderId="0" xfId="1" applyFont="1" applyBorder="1"/>
    <xf numFmtId="43" fontId="38" fillId="0" borderId="0" xfId="18" applyNumberFormat="1" applyFont="1" applyBorder="1"/>
    <xf numFmtId="0" fontId="38" fillId="0" borderId="0" xfId="18" applyFont="1" applyAlignment="1">
      <alignment horizontal="left" indent="2"/>
    </xf>
    <xf numFmtId="0" fontId="40" fillId="0" borderId="0" xfId="18" applyFont="1"/>
    <xf numFmtId="43" fontId="38" fillId="0" borderId="9" xfId="18" applyNumberFormat="1" applyFont="1" applyFill="1" applyBorder="1"/>
    <xf numFmtId="0" fontId="37" fillId="0" borderId="0" xfId="18" applyFont="1" applyAlignment="1">
      <alignment horizontal="left" indent="2"/>
    </xf>
    <xf numFmtId="43" fontId="37" fillId="0" borderId="10" xfId="18" applyNumberFormat="1" applyFont="1" applyFill="1" applyBorder="1"/>
    <xf numFmtId="43" fontId="38" fillId="0" borderId="9" xfId="2" applyFont="1" applyBorder="1"/>
    <xf numFmtId="0" fontId="37" fillId="0" borderId="0" xfId="18" applyFont="1"/>
    <xf numFmtId="43" fontId="37" fillId="0" borderId="0" xfId="2" applyFont="1"/>
    <xf numFmtId="43" fontId="37" fillId="0" borderId="16" xfId="2" applyFont="1" applyBorder="1"/>
    <xf numFmtId="43" fontId="38" fillId="0" borderId="0" xfId="18" applyNumberFormat="1" applyFont="1"/>
    <xf numFmtId="0" fontId="0" fillId="0" borderId="0" xfId="0" applyAlignment="1">
      <alignment horizontal="right"/>
    </xf>
    <xf numFmtId="0" fontId="2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43" fontId="37" fillId="0" borderId="0" xfId="18" applyNumberFormat="1" applyFont="1" applyFill="1" applyBorder="1"/>
    <xf numFmtId="43" fontId="37" fillId="0" borderId="0" xfId="2" applyFont="1" applyBorder="1"/>
    <xf numFmtId="43" fontId="38" fillId="0" borderId="0" xfId="2" applyFont="1" applyBorder="1"/>
    <xf numFmtId="43" fontId="33" fillId="0" borderId="0" xfId="1" applyFont="1" applyBorder="1"/>
    <xf numFmtId="0" fontId="34" fillId="0" borderId="0" xfId="19" applyFont="1"/>
    <xf numFmtId="0" fontId="35" fillId="0" borderId="0" xfId="19" applyFont="1" applyFill="1" applyBorder="1" applyAlignment="1">
      <alignment horizontal="center"/>
    </xf>
    <xf numFmtId="43" fontId="34" fillId="0" borderId="0" xfId="19" applyNumberFormat="1" applyFont="1" applyFill="1" applyBorder="1"/>
    <xf numFmtId="0" fontId="33" fillId="0" borderId="0" xfId="19" applyFont="1" applyAlignment="1">
      <alignment horizontal="left" indent="2"/>
    </xf>
    <xf numFmtId="0" fontId="34" fillId="0" borderId="0" xfId="19" applyFont="1" applyAlignment="1">
      <alignment horizontal="left" indent="2"/>
    </xf>
    <xf numFmtId="43" fontId="34" fillId="0" borderId="9" xfId="19" applyNumberFormat="1" applyFont="1" applyFill="1" applyBorder="1"/>
    <xf numFmtId="0" fontId="34" fillId="0" borderId="0" xfId="19" applyFont="1" applyAlignment="1">
      <alignment horizontal="left"/>
    </xf>
    <xf numFmtId="0" fontId="34" fillId="0" borderId="0" xfId="19" applyFont="1" applyAlignment="1">
      <alignment horizontal="center"/>
    </xf>
    <xf numFmtId="43" fontId="34" fillId="0" borderId="0" xfId="4" applyFont="1" applyFill="1" applyBorder="1"/>
    <xf numFmtId="43" fontId="34" fillId="0" borderId="9" xfId="4" applyFont="1" applyFill="1" applyBorder="1"/>
    <xf numFmtId="165" fontId="41" fillId="0" borderId="0" xfId="1" applyNumberFormat="1" applyFont="1" applyBorder="1" applyAlignment="1" applyProtection="1">
      <alignment horizontal="left" vertical="top" wrapText="1" shrinkToFit="1"/>
      <protection locked="0"/>
    </xf>
    <xf numFmtId="43" fontId="33" fillId="0" borderId="10" xfId="4" applyFont="1" applyFill="1" applyBorder="1"/>
    <xf numFmtId="43" fontId="34" fillId="0" borderId="0" xfId="19" applyNumberFormat="1" applyFont="1"/>
    <xf numFmtId="43" fontId="34" fillId="0" borderId="0" xfId="4" applyFont="1" applyFill="1"/>
    <xf numFmtId="0" fontId="34" fillId="0" borderId="0" xfId="19" applyFont="1" applyBorder="1"/>
    <xf numFmtId="0" fontId="33" fillId="0" borderId="0" xfId="19" applyFont="1" applyBorder="1"/>
    <xf numFmtId="43" fontId="34" fillId="0" borderId="0" xfId="19" applyNumberFormat="1" applyFont="1" applyFill="1" applyBorder="1" applyAlignment="1">
      <alignment vertical="center"/>
    </xf>
    <xf numFmtId="0" fontId="38" fillId="0" borderId="0" xfId="19" applyFont="1" applyAlignment="1">
      <alignment horizontal="left" indent="2"/>
    </xf>
    <xf numFmtId="43" fontId="33" fillId="0" borderId="10" xfId="19" applyNumberFormat="1" applyFont="1" applyFill="1" applyBorder="1"/>
    <xf numFmtId="0" fontId="33" fillId="0" borderId="0" xfId="19" applyFont="1"/>
    <xf numFmtId="43" fontId="34" fillId="0" borderId="10" xfId="19" applyNumberFormat="1" applyFont="1" applyFill="1" applyBorder="1"/>
    <xf numFmtId="43" fontId="33" fillId="0" borderId="16" xfId="19" applyNumberFormat="1" applyFont="1" applyFill="1" applyBorder="1"/>
    <xf numFmtId="43" fontId="38" fillId="0" borderId="0" xfId="19" applyNumberFormat="1" applyFont="1" applyFill="1" applyBorder="1"/>
    <xf numFmtId="43" fontId="38" fillId="0" borderId="0" xfId="19" applyNumberFormat="1" applyFont="1" applyFill="1" applyBorder="1" applyAlignment="1">
      <alignment horizontal="right"/>
    </xf>
    <xf numFmtId="43" fontId="37" fillId="0" borderId="0" xfId="19" applyNumberFormat="1" applyFont="1" applyFill="1" applyBorder="1"/>
    <xf numFmtId="0" fontId="34" fillId="0" borderId="0" xfId="19" applyFont="1" applyFill="1" applyBorder="1"/>
    <xf numFmtId="43" fontId="25" fillId="0" borderId="0" xfId="1" applyFont="1"/>
    <xf numFmtId="43" fontId="22" fillId="3" borderId="19" xfId="1" applyFont="1" applyFill="1" applyBorder="1" applyAlignment="1">
      <alignment horizontal="center" vertical="center" wrapText="1"/>
    </xf>
    <xf numFmtId="43" fontId="22" fillId="3" borderId="20" xfId="1" applyFont="1" applyFill="1" applyBorder="1" applyAlignment="1">
      <alignment horizontal="center" vertical="center" wrapText="1"/>
    </xf>
    <xf numFmtId="43" fontId="22" fillId="3" borderId="1" xfId="1" applyFont="1" applyFill="1" applyBorder="1" applyAlignment="1">
      <alignment horizontal="center" vertical="center" wrapText="1"/>
    </xf>
    <xf numFmtId="43" fontId="22" fillId="3" borderId="2" xfId="1" applyFont="1" applyFill="1" applyBorder="1" applyAlignment="1">
      <alignment horizontal="center" vertical="center" wrapText="1"/>
    </xf>
    <xf numFmtId="43" fontId="21" fillId="3" borderId="1" xfId="1" applyFont="1" applyFill="1" applyBorder="1" applyAlignment="1">
      <alignment horizontal="center"/>
    </xf>
    <xf numFmtId="43" fontId="21" fillId="3" borderId="2" xfId="1" applyFont="1" applyFill="1" applyBorder="1" applyAlignment="1">
      <alignment horizontal="center"/>
    </xf>
    <xf numFmtId="43" fontId="21" fillId="2" borderId="1" xfId="1" applyFont="1" applyFill="1" applyBorder="1" applyAlignment="1">
      <alignment horizontal="center"/>
    </xf>
    <xf numFmtId="43" fontId="21" fillId="2" borderId="2" xfId="1" applyFont="1" applyFill="1" applyBorder="1" applyAlignment="1">
      <alignment horizontal="center"/>
    </xf>
    <xf numFmtId="43" fontId="21" fillId="5" borderId="1" xfId="1" applyFont="1" applyFill="1" applyBorder="1" applyAlignment="1">
      <alignment horizontal="center"/>
    </xf>
    <xf numFmtId="43" fontId="21" fillId="5" borderId="2" xfId="1" applyFont="1" applyFill="1" applyBorder="1" applyAlignment="1">
      <alignment horizontal="center"/>
    </xf>
    <xf numFmtId="43" fontId="22" fillId="2" borderId="19" xfId="1" applyFont="1" applyFill="1" applyBorder="1" applyAlignment="1">
      <alignment horizontal="center" vertical="center" wrapText="1"/>
    </xf>
    <xf numFmtId="43" fontId="22" fillId="2" borderId="20" xfId="1" applyFont="1" applyFill="1" applyBorder="1" applyAlignment="1">
      <alignment horizontal="center" vertical="center" wrapText="1"/>
    </xf>
    <xf numFmtId="43" fontId="22" fillId="2" borderId="1" xfId="1" applyFont="1" applyFill="1" applyBorder="1" applyAlignment="1">
      <alignment horizontal="center" vertical="center" wrapText="1"/>
    </xf>
    <xf numFmtId="43" fontId="22" fillId="2" borderId="2" xfId="1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/>
    </xf>
    <xf numFmtId="43" fontId="22" fillId="5" borderId="22" xfId="1" applyFont="1" applyFill="1" applyBorder="1" applyAlignment="1">
      <alignment horizontal="center" vertical="center" wrapText="1"/>
    </xf>
    <xf numFmtId="43" fontId="22" fillId="5" borderId="20" xfId="1" applyFont="1" applyFill="1" applyBorder="1" applyAlignment="1">
      <alignment horizontal="center" vertical="center" wrapText="1"/>
    </xf>
    <xf numFmtId="43" fontId="22" fillId="5" borderId="0" xfId="1" applyFont="1" applyFill="1" applyBorder="1" applyAlignment="1">
      <alignment horizontal="center" vertical="center" wrapText="1"/>
    </xf>
    <xf numFmtId="43" fontId="22" fillId="5" borderId="2" xfId="1" applyFont="1" applyFill="1" applyBorder="1" applyAlignment="1">
      <alignment horizontal="center" vertical="center" wrapText="1"/>
    </xf>
    <xf numFmtId="43" fontId="22" fillId="5" borderId="19" xfId="1" applyFont="1" applyFill="1" applyBorder="1" applyAlignment="1">
      <alignment horizontal="center" vertical="center" wrapText="1"/>
    </xf>
    <xf numFmtId="43" fontId="22" fillId="5" borderId="1" xfId="1" applyFont="1" applyFill="1" applyBorder="1" applyAlignment="1">
      <alignment horizontal="center" vertical="center" wrapText="1"/>
    </xf>
    <xf numFmtId="43" fontId="21" fillId="5" borderId="0" xfId="1" applyFont="1" applyFill="1" applyBorder="1" applyAlignment="1">
      <alignment horizontal="center"/>
    </xf>
    <xf numFmtId="43" fontId="28" fillId="0" borderId="0" xfId="1" applyFont="1" applyAlignment="1">
      <alignment horizontal="center" vertical="center"/>
    </xf>
    <xf numFmtId="43" fontId="29" fillId="0" borderId="0" xfId="1" applyFont="1" applyAlignment="1">
      <alignment horizontal="right"/>
    </xf>
    <xf numFmtId="16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5" fillId="0" borderId="0" xfId="18" applyFont="1" applyAlignment="1">
      <alignment horizontal="center"/>
    </xf>
    <xf numFmtId="0" fontId="3" fillId="0" borderId="0" xfId="18" applyFont="1" applyAlignment="1">
      <alignment horizontal="center"/>
    </xf>
    <xf numFmtId="0" fontId="37" fillId="0" borderId="0" xfId="18" applyFont="1" applyAlignment="1">
      <alignment horizontal="center"/>
    </xf>
    <xf numFmtId="0" fontId="33" fillId="0" borderId="0" xfId="18" applyFont="1" applyAlignment="1">
      <alignment horizontal="center"/>
    </xf>
    <xf numFmtId="0" fontId="33" fillId="0" borderId="0" xfId="19" applyFont="1" applyAlignment="1">
      <alignment horizontal="center"/>
    </xf>
    <xf numFmtId="0" fontId="34" fillId="0" borderId="0" xfId="19" applyFont="1" applyAlignment="1">
      <alignment horizontal="center"/>
    </xf>
    <xf numFmtId="0" fontId="17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5" fillId="0" borderId="0" xfId="15" applyFont="1" applyAlignment="1">
      <alignment horizontal="center"/>
    </xf>
    <xf numFmtId="43" fontId="15" fillId="0" borderId="0" xfId="3" applyFont="1" applyAlignment="1">
      <alignment horizontal="center"/>
    </xf>
  </cellXfs>
  <cellStyles count="22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3" xfId="9"/>
    <cellStyle name="Comma 4" xfId="10"/>
    <cellStyle name="Comma 5" xfId="11"/>
    <cellStyle name="Comma 7" xfId="12"/>
    <cellStyle name="Currency 2" xfId="13"/>
    <cellStyle name="Normal" xfId="0" builtinId="0"/>
    <cellStyle name="Normal 2" xfId="14"/>
    <cellStyle name="Normal 2 2" xfId="15"/>
    <cellStyle name="Normal 2 4" xfId="16"/>
    <cellStyle name="Normal 2 5" xfId="17"/>
    <cellStyle name="Normal 3" xfId="18"/>
    <cellStyle name="Normal 3 2" xfId="19"/>
    <cellStyle name="Normal 4" xfId="20"/>
    <cellStyle name="Normal 5" xfId="21"/>
  </cellStyles>
  <dxfs count="1">
    <dxf>
      <font>
        <b/>
        <i val="0"/>
        <strike val="0"/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ines\AppData\Local\Temp\GL%20mar%202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%20Files\2015_JUNE%2030%202015\cash%20flow%20statement_201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%20Files\2015_JUNE%2030%202015\2015%20-%20JOURNALS%20-%20jan112016\CHECK%20DISBURSEMENT%20JOURNAL-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Office%20Files\2015_JUNE%2030%202015\FAR%204\FAR%20No.%204_MRD_MAR31v0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a-mgb"/>
      <sheetName val="debit account template"/>
      <sheetName val="credit account template"/>
      <sheetName val="10101010 00"/>
      <sheetName val="10101020 00"/>
      <sheetName val="10102020 00"/>
      <sheetName val="10104010 00"/>
      <sheetName val="10104020 00"/>
      <sheetName val="10104030 00"/>
      <sheetName val="10104040 00"/>
      <sheetName val="10104050 00"/>
      <sheetName val="10104070 00"/>
      <sheetName val="10301010 00"/>
      <sheetName val="10305010 00"/>
      <sheetName val="10305020 00"/>
      <sheetName val="10305990 00"/>
      <sheetName val="10404010 00"/>
      <sheetName val="10404020 00"/>
      <sheetName val="10404070 00"/>
      <sheetName val="10404990 00"/>
      <sheetName val="10601010 00"/>
      <sheetName val="10602990 00"/>
      <sheetName val="10602991 00"/>
      <sheetName val="10603050 00"/>
      <sheetName val="10604010 00"/>
      <sheetName val="10604011 00"/>
      <sheetName val="10604990 00"/>
      <sheetName val="10604991 00"/>
      <sheetName val="10605010 00"/>
      <sheetName val="10605011 00"/>
      <sheetName val="10605020 00"/>
      <sheetName val="10605021 00"/>
      <sheetName val="10605030 00"/>
      <sheetName val="10605031 00"/>
      <sheetName val="10605070 00"/>
      <sheetName val="10605071 00"/>
      <sheetName val="10605140 00"/>
      <sheetName val="10605141 00"/>
      <sheetName val="10606010 00"/>
      <sheetName val="10606011 00"/>
      <sheetName val="10607010 00"/>
      <sheetName val="10607011 00"/>
      <sheetName val="10610030 00"/>
      <sheetName val="10699990 00"/>
      <sheetName val="10699991 00"/>
      <sheetName val="10801020 00"/>
      <sheetName val="19901020 00"/>
      <sheetName val="19901030 00"/>
      <sheetName val="19901040 00"/>
      <sheetName val="19902010 00"/>
      <sheetName val="19902020 00"/>
      <sheetName val="19902030 00"/>
      <sheetName val="19902050 00"/>
      <sheetName val="19902990 00"/>
      <sheetName val="19903020 00"/>
      <sheetName val="19903990 00"/>
      <sheetName val="19999990 00"/>
      <sheetName val="20101010 00"/>
      <sheetName val="20101020 00"/>
      <sheetName val="20201010 00"/>
      <sheetName val="20201020 00"/>
      <sheetName val="20201030 00"/>
      <sheetName val="20201040 00"/>
      <sheetName val="20201050 00"/>
      <sheetName val="20201060 00"/>
      <sheetName val="20401010 00"/>
      <sheetName val="20401040 00"/>
      <sheetName val="29999990 00"/>
      <sheetName val="30101010 00"/>
      <sheetName val="40201010 00"/>
      <sheetName val="40201070 01"/>
      <sheetName val="CLEAR_CERT FEE"/>
      <sheetName val="40201090 00"/>
      <sheetName val="INSPECTION"/>
      <sheetName val="VER FEE"/>
      <sheetName val="40201110 99"/>
      <sheetName val="PROCESSING"/>
      <sheetName val="ANALYSIS "/>
      <sheetName val="40201130 02"/>
      <sheetName val="APPLICATION"/>
      <sheetName val="ASSESSMENT"/>
      <sheetName val="FILING"/>
      <sheetName val="40201130 11"/>
      <sheetName val="40201130 99"/>
      <sheetName val="40609990 00"/>
      <sheetName val="40201990 00"/>
      <sheetName val="40201990 06"/>
      <sheetName val="40202040 00"/>
      <sheetName val="40202150 00"/>
      <sheetName val="40202160 00"/>
      <sheetName val="40202210 00"/>
      <sheetName val="40202990 00"/>
      <sheetName val="40301010 00"/>
      <sheetName val="40301020 00"/>
      <sheetName val="40301050 00"/>
      <sheetName val="50101010 00"/>
      <sheetName val="50102010 00"/>
      <sheetName val="50102020 00"/>
      <sheetName val="50102030 00"/>
      <sheetName val="50102040 00"/>
      <sheetName val="50102050 00"/>
      <sheetName val="50102060 00"/>
      <sheetName val="50102070 00"/>
      <sheetName val="50102080 00"/>
      <sheetName val="50102100 00"/>
      <sheetName val="50102990 00"/>
      <sheetName val="50102990 11"/>
      <sheetName val="50102120 00"/>
      <sheetName val="50102130 00"/>
      <sheetName val="50102140 00"/>
      <sheetName val="50102150 00"/>
      <sheetName val="50103010 00"/>
      <sheetName val="50103020 00"/>
      <sheetName val="50103030 00"/>
      <sheetName val="50103040 00"/>
      <sheetName val="50104020 00"/>
      <sheetName val="50104030 00"/>
      <sheetName val="50104990 00"/>
      <sheetName val="50201010 00"/>
      <sheetName val="50201020 00"/>
      <sheetName val="50202010 00"/>
      <sheetName val="50202020 00"/>
      <sheetName val="50203010 00"/>
      <sheetName val="50203020 00"/>
      <sheetName val="50203080 00"/>
      <sheetName val="50203090 00"/>
      <sheetName val="50203990 00"/>
      <sheetName val="50204010 00"/>
      <sheetName val="50204020 00"/>
      <sheetName val="50205010 00"/>
      <sheetName val="50205020 01"/>
      <sheetName val="50205020 02"/>
      <sheetName val="50205030 00"/>
      <sheetName val="50205040 00"/>
      <sheetName val="50207010 00"/>
      <sheetName val="50210030 00"/>
      <sheetName val="50211010 00"/>
      <sheetName val="50211020 00"/>
      <sheetName val="50211030 00"/>
      <sheetName val="50211990 00"/>
      <sheetName val="50212020 00"/>
      <sheetName val="50212030 00"/>
      <sheetName val="50212990 00"/>
      <sheetName val="50213040 00"/>
      <sheetName val="50213050 01"/>
      <sheetName val="50213050 02"/>
      <sheetName val="50213050 03"/>
      <sheetName val="50213050 14"/>
      <sheetName val="50213050 99"/>
      <sheetName val="50213060 01"/>
      <sheetName val="50213080 01"/>
      <sheetName val="50213990 00"/>
      <sheetName val="50213990 99"/>
      <sheetName val="50215010 00"/>
      <sheetName val="50215020 00"/>
      <sheetName val="50215030 00"/>
      <sheetName val="50299010 00"/>
      <sheetName val="50299020 00"/>
      <sheetName val="50299030 00"/>
      <sheetName val="50299040 00"/>
      <sheetName val="50299050 00"/>
      <sheetName val="50299060 00"/>
      <sheetName val="50299070 00"/>
      <sheetName val="50299990 00"/>
      <sheetName val="50299990 01"/>
      <sheetName val="50501020 00"/>
      <sheetName val="50501020 99"/>
      <sheetName val="50501040 00"/>
      <sheetName val="50501050 00"/>
      <sheetName val="50501050 02"/>
      <sheetName val="50501050 03"/>
      <sheetName val="50501050 07"/>
      <sheetName val="50501050 08"/>
      <sheetName val="50501050 09"/>
      <sheetName val="50501050 10"/>
      <sheetName val="50501050 11"/>
      <sheetName val="50501050 14"/>
      <sheetName val="50501050 99"/>
      <sheetName val="50501060 01"/>
      <sheetName val="50501060 04"/>
      <sheetName val="50501070 00"/>
      <sheetName val="50501090 02"/>
      <sheetName val="50501990 00"/>
      <sheetName val="SADC"/>
      <sheetName val="tb"/>
      <sheetName val="s651"/>
      <sheetName val="sfper"/>
      <sheetName val="confper"/>
      <sheetName val="scna"/>
      <sheetName val="sfpos"/>
      <sheetName val="confpos"/>
      <sheetName val="Sheet8"/>
    </sheetNames>
    <sheetDataSet>
      <sheetData sheetId="0">
        <row r="1">
          <cell r="A1" t="str">
            <v>10101010 00</v>
          </cell>
          <cell r="B1" t="str">
            <v>Cash Collecting Officer</v>
          </cell>
        </row>
        <row r="2">
          <cell r="A2" t="str">
            <v>10101020 00</v>
          </cell>
          <cell r="B2" t="str">
            <v>Petty Cash Fund</v>
          </cell>
        </row>
        <row r="3">
          <cell r="A3" t="str">
            <v>10102020 00</v>
          </cell>
          <cell r="B3" t="str">
            <v>Cash in Bank - Local Currency, Current Account</v>
          </cell>
        </row>
        <row r="4">
          <cell r="A4" t="str">
            <v>10104010 00</v>
          </cell>
          <cell r="B4" t="str">
            <v>Cash - Treasury/Agency Deposit, Regular</v>
          </cell>
        </row>
        <row r="5">
          <cell r="A5" t="str">
            <v>10104020 00</v>
          </cell>
          <cell r="B5" t="str">
            <v>Cash - Treasury/Agency Deposit, Special</v>
          </cell>
        </row>
        <row r="6">
          <cell r="A6" t="str">
            <v>10104030 00</v>
          </cell>
          <cell r="B6" t="str">
            <v>Cash - Treasury/Agency Deposit, Trust</v>
          </cell>
        </row>
        <row r="7">
          <cell r="A7" t="str">
            <v>10104040 00</v>
          </cell>
          <cell r="B7" t="str">
            <v>Cash - Modified Disbursement System (MDS), Regular</v>
          </cell>
        </row>
        <row r="8">
          <cell r="A8" t="str">
            <v>10104050 00</v>
          </cell>
          <cell r="B8" t="str">
            <v>Cash - Modified Disbursement System (MDS), Special Account</v>
          </cell>
        </row>
        <row r="9">
          <cell r="A9" t="str">
            <v>10104070 00</v>
          </cell>
          <cell r="B9" t="str">
            <v>Cash - Tax Remittance Advice</v>
          </cell>
        </row>
        <row r="10">
          <cell r="A10" t="str">
            <v>10301010 00</v>
          </cell>
          <cell r="B10" t="str">
            <v>Accounts Receivable</v>
          </cell>
        </row>
        <row r="11">
          <cell r="A11" t="str">
            <v>10301011 00</v>
          </cell>
          <cell r="B11" t="str">
            <v>Allowance for Doubtful Accounts/Allow for Impairment-Acct Receivable</v>
          </cell>
        </row>
        <row r="12">
          <cell r="A12" t="str">
            <v>10303010 00</v>
          </cell>
          <cell r="B12" t="str">
            <v>Due from National Government Agencies</v>
          </cell>
        </row>
        <row r="13">
          <cell r="A13" t="str">
            <v>10303020 00</v>
          </cell>
          <cell r="B13" t="str">
            <v>Due from Government - Owned and/or Controlled Corporations</v>
          </cell>
        </row>
        <row r="14">
          <cell r="A14" t="str">
            <v>10303030 00</v>
          </cell>
          <cell r="B14" t="str">
            <v>Due from Local Government Units</v>
          </cell>
        </row>
        <row r="15">
          <cell r="A15" t="str">
            <v>10305010 00</v>
          </cell>
          <cell r="B15" t="str">
            <v>Receivables - Disallowances/Charges</v>
          </cell>
        </row>
        <row r="16">
          <cell r="A16" t="str">
            <v>10305020 00</v>
          </cell>
          <cell r="B16" t="str">
            <v>Due from Officers &amp; Employees</v>
          </cell>
        </row>
        <row r="17">
          <cell r="A17" t="str">
            <v>10305030 00</v>
          </cell>
          <cell r="B17" t="str">
            <v>Due from NGOs/POs</v>
          </cell>
        </row>
        <row r="18">
          <cell r="A18" t="str">
            <v>10305990 00</v>
          </cell>
          <cell r="B18" t="str">
            <v>Other Receivables</v>
          </cell>
        </row>
        <row r="19">
          <cell r="A19" t="str">
            <v>10404010 00</v>
          </cell>
          <cell r="B19" t="str">
            <v>Office Supplies Inventory</v>
          </cell>
        </row>
        <row r="20">
          <cell r="A20" t="str">
            <v>10404020 00</v>
          </cell>
          <cell r="B20" t="str">
            <v>Accountable Forms, Plates and Stickers Inventory</v>
          </cell>
        </row>
        <row r="21">
          <cell r="A21" t="str">
            <v>10404070 00</v>
          </cell>
          <cell r="B21" t="str">
            <v>Medical, Dental &amp; Laboratory Supplies Inventory</v>
          </cell>
        </row>
        <row r="22">
          <cell r="A22" t="str">
            <v>10404100 00</v>
          </cell>
          <cell r="B22" t="str">
            <v>Textbooks and Instructional Materials Inventory</v>
          </cell>
        </row>
        <row r="23">
          <cell r="A23" t="str">
            <v>10404990 00</v>
          </cell>
          <cell r="B23" t="str">
            <v>Other Supplies and Materials Inventory</v>
          </cell>
        </row>
        <row r="24">
          <cell r="A24" t="str">
            <v>10601010 00</v>
          </cell>
          <cell r="B24" t="str">
            <v>Land</v>
          </cell>
        </row>
        <row r="25">
          <cell r="A25" t="str">
            <v>10602990 00</v>
          </cell>
          <cell r="B25" t="str">
            <v>Other Land Improvements</v>
          </cell>
        </row>
        <row r="26">
          <cell r="A26" t="str">
            <v>10602991 00</v>
          </cell>
          <cell r="B26" t="str">
            <v>Accumulated Depreciation - Other Land Improvements</v>
          </cell>
        </row>
        <row r="27">
          <cell r="A27" t="str">
            <v>10603050 00</v>
          </cell>
          <cell r="B27" t="str">
            <v>Power Supply Systems</v>
          </cell>
        </row>
        <row r="28">
          <cell r="A28" t="str">
            <v>10604010 00</v>
          </cell>
          <cell r="B28" t="str">
            <v>Office Buildings</v>
          </cell>
        </row>
        <row r="29">
          <cell r="A29" t="str">
            <v>10604011 00</v>
          </cell>
          <cell r="B29" t="str">
            <v xml:space="preserve">Accumulated Depreciation - Office Buildings </v>
          </cell>
        </row>
        <row r="30">
          <cell r="A30" t="str">
            <v>10604990 00</v>
          </cell>
          <cell r="B30" t="str">
            <v>Other Structures</v>
          </cell>
        </row>
        <row r="31">
          <cell r="A31" t="str">
            <v>10604991 00</v>
          </cell>
          <cell r="B31" t="str">
            <v>Accumulated Depreciation - Other Structures</v>
          </cell>
        </row>
        <row r="32">
          <cell r="A32" t="str">
            <v>10605010 00</v>
          </cell>
          <cell r="B32" t="str">
            <v>Machinery</v>
          </cell>
        </row>
        <row r="33">
          <cell r="A33" t="str">
            <v>10605011 00</v>
          </cell>
          <cell r="B33" t="str">
            <v>Accumulated Depreciation - Machinery</v>
          </cell>
        </row>
        <row r="34">
          <cell r="A34" t="str">
            <v>10605020 00</v>
          </cell>
          <cell r="B34" t="str">
            <v>Office Equipment</v>
          </cell>
        </row>
        <row r="35">
          <cell r="A35" t="str">
            <v>10605021 00</v>
          </cell>
          <cell r="B35" t="str">
            <v>Accumulated Depreciation - Office Equipment</v>
          </cell>
        </row>
        <row r="36">
          <cell r="A36" t="str">
            <v>10605030 00</v>
          </cell>
          <cell r="B36" t="str">
            <v xml:space="preserve">Information and Communication Technology  Equipment </v>
          </cell>
        </row>
        <row r="37">
          <cell r="A37" t="str">
            <v>10605031 00</v>
          </cell>
          <cell r="B37" t="str">
            <v>Accumulated Depreciation - IT Equipment &amp; Software</v>
          </cell>
        </row>
        <row r="38">
          <cell r="A38" t="str">
            <v>10605070 00</v>
          </cell>
          <cell r="B38" t="str">
            <v>Communication Equipment</v>
          </cell>
        </row>
        <row r="39">
          <cell r="A39" t="str">
            <v>10605071 00</v>
          </cell>
          <cell r="B39" t="str">
            <v>Accumulated Depreciation - Communication Equipment</v>
          </cell>
        </row>
        <row r="40">
          <cell r="A40" t="str">
            <v>10605080 00</v>
          </cell>
          <cell r="B40" t="str">
            <v>Construction and Heavy Equipment</v>
          </cell>
        </row>
        <row r="41">
          <cell r="A41" t="str">
            <v>10605081 00</v>
          </cell>
          <cell r="B41" t="str">
            <v>Accumulated Depreciation - Construction &amp; Heavy Equipt.</v>
          </cell>
        </row>
        <row r="42">
          <cell r="A42" t="str">
            <v>10605090 00</v>
          </cell>
          <cell r="B42" t="str">
            <v>Disaster Response and Rescue Equipment</v>
          </cell>
        </row>
        <row r="43">
          <cell r="A43" t="str">
            <v>10605091 00</v>
          </cell>
          <cell r="B43" t="str">
            <v>Accumulated Depreciation - Disaster Response &amp; Rescue Equipment</v>
          </cell>
        </row>
        <row r="44">
          <cell r="A44" t="str">
            <v>10605100 00</v>
          </cell>
          <cell r="B44" t="str">
            <v>Military and Police Equipment</v>
          </cell>
        </row>
        <row r="45">
          <cell r="A45" t="str">
            <v>10605101 00</v>
          </cell>
          <cell r="B45" t="str">
            <v>Accumulated Depreciation - Military and Police Equipment</v>
          </cell>
        </row>
        <row r="46">
          <cell r="A46" t="str">
            <v>10605110 00</v>
          </cell>
          <cell r="B46" t="str">
            <v>Medical Equipment</v>
          </cell>
        </row>
        <row r="47">
          <cell r="A47" t="str">
            <v>10605111 00</v>
          </cell>
          <cell r="B47" t="str">
            <v>Accumulated Depreciation - Medical Equipment</v>
          </cell>
        </row>
        <row r="48">
          <cell r="A48" t="str">
            <v>10605130 00</v>
          </cell>
          <cell r="B48" t="str">
            <v>Sports Equipment</v>
          </cell>
        </row>
        <row r="49">
          <cell r="A49" t="str">
            <v>10605131 00</v>
          </cell>
          <cell r="B49" t="str">
            <v>Accumulated Depreciation - Sports Equipment</v>
          </cell>
        </row>
        <row r="50">
          <cell r="A50" t="str">
            <v>10605140 00</v>
          </cell>
          <cell r="B50" t="str">
            <v>Technical and Scientific Equipment</v>
          </cell>
        </row>
        <row r="51">
          <cell r="A51" t="str">
            <v>10605141 00</v>
          </cell>
          <cell r="B51" t="str">
            <v>Accumulated Depreciation - Technical and Scientific Equipt.</v>
          </cell>
        </row>
        <row r="52">
          <cell r="A52" t="str">
            <v>10605990 00</v>
          </cell>
          <cell r="B52" t="str">
            <v>Other Machinery and Equipment</v>
          </cell>
        </row>
        <row r="53">
          <cell r="A53" t="str">
            <v>10605991 00</v>
          </cell>
          <cell r="B53" t="str">
            <v xml:space="preserve">Accumulated Depreciation - Other Machinery and Equipment </v>
          </cell>
        </row>
        <row r="54">
          <cell r="A54" t="str">
            <v>10606010 00</v>
          </cell>
          <cell r="B54" t="str">
            <v>Motor Vehicles</v>
          </cell>
        </row>
        <row r="55">
          <cell r="A55" t="str">
            <v>10606011 00</v>
          </cell>
          <cell r="B55" t="str">
            <v>Accumulated Depreciation - Motor Vehicles</v>
          </cell>
        </row>
        <row r="56">
          <cell r="A56" t="str">
            <v>10606040 00</v>
          </cell>
          <cell r="B56" t="str">
            <v>Watercrafts</v>
          </cell>
        </row>
        <row r="57">
          <cell r="A57" t="str">
            <v>10606041 00</v>
          </cell>
          <cell r="B57" t="str">
            <v>Accumulated Depreciation - Watercrafts</v>
          </cell>
        </row>
        <row r="58">
          <cell r="A58" t="str">
            <v>10607010 00</v>
          </cell>
          <cell r="B58" t="str">
            <v xml:space="preserve">Furniture and Fixtures </v>
          </cell>
        </row>
        <row r="59">
          <cell r="A59" t="str">
            <v>10607011 00</v>
          </cell>
          <cell r="B59" t="str">
            <v>Accumulated Depreciation - Furniture and Fixtures</v>
          </cell>
        </row>
        <row r="60">
          <cell r="A60" t="str">
            <v>10607020 00</v>
          </cell>
          <cell r="B60" t="str">
            <v>Books</v>
          </cell>
        </row>
        <row r="61">
          <cell r="A61" t="str">
            <v>10607021 00</v>
          </cell>
          <cell r="B61" t="str">
            <v>Accumulated Depreciation - Books</v>
          </cell>
        </row>
        <row r="62">
          <cell r="A62" t="str">
            <v>10609020 00</v>
          </cell>
          <cell r="B62" t="str">
            <v>Leased Assets Improvements, Buildings</v>
          </cell>
        </row>
        <row r="63">
          <cell r="A63" t="str">
            <v>10609021 00</v>
          </cell>
          <cell r="B63" t="str">
            <v>Accumulated Depreciation - Leased Assets Improvements, Buildings</v>
          </cell>
        </row>
        <row r="64">
          <cell r="A64" t="str">
            <v>10610030 00</v>
          </cell>
          <cell r="B64" t="str">
            <v>Construction in Progress - Buildings &amp; Other Structures</v>
          </cell>
        </row>
        <row r="65">
          <cell r="A65" t="str">
            <v>10699990 00</v>
          </cell>
          <cell r="B65" t="str">
            <v>Other Property,Plant and Equipment</v>
          </cell>
        </row>
        <row r="66">
          <cell r="A66" t="str">
            <v>10699991 00</v>
          </cell>
          <cell r="B66" t="str">
            <v>Accumulated Depreciation - Other Property, Plant &amp; Eqp't</v>
          </cell>
        </row>
        <row r="67">
          <cell r="A67" t="str">
            <v>10801020 00</v>
          </cell>
          <cell r="B67" t="str">
            <v>Computer Software</v>
          </cell>
        </row>
        <row r="68">
          <cell r="A68" t="str">
            <v>19901020 00</v>
          </cell>
          <cell r="B68" t="str">
            <v>Advances for Payroll</v>
          </cell>
        </row>
        <row r="69">
          <cell r="A69" t="str">
            <v>19901030 00</v>
          </cell>
          <cell r="B69" t="str">
            <v>Advances to Special Disbursing Officer</v>
          </cell>
        </row>
        <row r="70">
          <cell r="A70" t="str">
            <v>19901040 00</v>
          </cell>
          <cell r="B70" t="str">
            <v>Advances to Officers and Employees</v>
          </cell>
        </row>
        <row r="71">
          <cell r="A71" t="str">
            <v>19902010 00</v>
          </cell>
          <cell r="B71" t="str">
            <v>Advances to Contractors</v>
          </cell>
        </row>
        <row r="72">
          <cell r="A72" t="str">
            <v>19902020 00</v>
          </cell>
          <cell r="B72" t="str">
            <v>Prepaid Rent</v>
          </cell>
        </row>
        <row r="73">
          <cell r="A73" t="str">
            <v>19902030 00</v>
          </cell>
          <cell r="B73" t="str">
            <v>Prepaid Registration</v>
          </cell>
        </row>
        <row r="74">
          <cell r="A74" t="str">
            <v>19902050 00</v>
          </cell>
          <cell r="B74" t="str">
            <v>Prepaid Insurance</v>
          </cell>
        </row>
        <row r="75">
          <cell r="A75" t="str">
            <v>19902990 00</v>
          </cell>
          <cell r="B75" t="str">
            <v>Other Prepayments</v>
          </cell>
        </row>
        <row r="76">
          <cell r="A76" t="str">
            <v>19903020 00</v>
          </cell>
          <cell r="B76" t="str">
            <v>Guaranty Deposits</v>
          </cell>
        </row>
        <row r="77">
          <cell r="A77" t="str">
            <v>19903990 00</v>
          </cell>
          <cell r="B77" t="str">
            <v>Other Deposits</v>
          </cell>
        </row>
        <row r="78">
          <cell r="A78" t="str">
            <v>19999990 00</v>
          </cell>
          <cell r="B78" t="str">
            <v>Other Assets</v>
          </cell>
        </row>
        <row r="79">
          <cell r="A79" t="str">
            <v>20101010 00</v>
          </cell>
          <cell r="B79" t="str">
            <v>Accounts Payable</v>
          </cell>
        </row>
        <row r="80">
          <cell r="A80" t="str">
            <v>20101020 00</v>
          </cell>
          <cell r="B80" t="str">
            <v>Due to Officers and Employees</v>
          </cell>
        </row>
        <row r="81">
          <cell r="A81" t="str">
            <v>20201010 00</v>
          </cell>
          <cell r="B81" t="str">
            <v>Due to BIR</v>
          </cell>
        </row>
        <row r="82">
          <cell r="A82" t="str">
            <v>20201020 00</v>
          </cell>
          <cell r="B82" t="str">
            <v xml:space="preserve">Due to GSIS </v>
          </cell>
        </row>
        <row r="83">
          <cell r="A83" t="str">
            <v>20201030 00</v>
          </cell>
          <cell r="B83" t="str">
            <v xml:space="preserve">Due to Pag-IBIG </v>
          </cell>
        </row>
        <row r="84">
          <cell r="A84" t="str">
            <v>20201040 00</v>
          </cell>
          <cell r="B84" t="str">
            <v>Due to PhilHealth</v>
          </cell>
        </row>
        <row r="85">
          <cell r="A85" t="str">
            <v>20201050 00</v>
          </cell>
          <cell r="B85" t="str">
            <v>Due to Other NGAs</v>
          </cell>
        </row>
        <row r="86">
          <cell r="A86" t="str">
            <v>20201060 00</v>
          </cell>
          <cell r="B86" t="str">
            <v>Due to GOCCs</v>
          </cell>
        </row>
        <row r="87">
          <cell r="A87" t="str">
            <v>20401010 00</v>
          </cell>
          <cell r="B87" t="str">
            <v>Trust Liabilities</v>
          </cell>
        </row>
        <row r="88">
          <cell r="A88" t="str">
            <v>20401040 00</v>
          </cell>
          <cell r="B88" t="str">
            <v>Guaranty/Security Deposits Payable</v>
          </cell>
        </row>
        <row r="89">
          <cell r="A89" t="str">
            <v>29999990 00</v>
          </cell>
          <cell r="B89" t="str">
            <v>Other Payables</v>
          </cell>
        </row>
        <row r="90">
          <cell r="A90" t="str">
            <v>30101010 00</v>
          </cell>
          <cell r="B90" t="str">
            <v>Accumulated Surplus/Deficit</v>
          </cell>
        </row>
        <row r="91">
          <cell r="A91" t="str">
            <v>30201010 00</v>
          </cell>
          <cell r="B91" t="str">
            <v>Revaluation Surplus</v>
          </cell>
        </row>
        <row r="92">
          <cell r="A92" t="str">
            <v>40201010 00</v>
          </cell>
          <cell r="B92" t="str">
            <v>Permit Fees</v>
          </cell>
        </row>
        <row r="93">
          <cell r="A93" t="str">
            <v>40201070 01</v>
          </cell>
          <cell r="B93" t="str">
            <v>Supervision and Regulation Enforcement Fees</v>
          </cell>
        </row>
        <row r="94">
          <cell r="A94" t="str">
            <v>40201040 00</v>
          </cell>
          <cell r="B94" t="str">
            <v>Clearance and Certification Fee</v>
          </cell>
        </row>
        <row r="95">
          <cell r="A95" t="str">
            <v>40201090 00</v>
          </cell>
          <cell r="B95" t="str">
            <v>Legal Fees</v>
          </cell>
        </row>
        <row r="96">
          <cell r="A96" t="str">
            <v>40201100 00</v>
          </cell>
          <cell r="B96" t="str">
            <v>Inspection Fees</v>
          </cell>
        </row>
        <row r="97">
          <cell r="A97" t="str">
            <v>40201110 00</v>
          </cell>
          <cell r="B97" t="str">
            <v>Verification and Authentication Fees</v>
          </cell>
        </row>
        <row r="98">
          <cell r="A98" t="str">
            <v>40201110 99</v>
          </cell>
          <cell r="B98" t="str">
            <v>Other Verification and Authentication Fees</v>
          </cell>
        </row>
        <row r="99">
          <cell r="A99" t="str">
            <v>40201130 00</v>
          </cell>
          <cell r="B99" t="str">
            <v>Processing Fees</v>
          </cell>
        </row>
        <row r="100">
          <cell r="A100" t="str">
            <v>40201130 01</v>
          </cell>
          <cell r="B100" t="str">
            <v>Analysis Fees</v>
          </cell>
        </row>
        <row r="101">
          <cell r="A101" t="str">
            <v>40201130 02</v>
          </cell>
          <cell r="B101" t="str">
            <v>Appeal Fees</v>
          </cell>
        </row>
        <row r="102">
          <cell r="A102" t="str">
            <v>40201130 03</v>
          </cell>
          <cell r="B102" t="str">
            <v xml:space="preserve">Application Fees </v>
          </cell>
        </row>
        <row r="103">
          <cell r="A103" t="str">
            <v>40201130 04</v>
          </cell>
          <cell r="B103" t="str">
            <v>Assessment Fees</v>
          </cell>
        </row>
        <row r="104">
          <cell r="A104" t="str">
            <v>40201130 07</v>
          </cell>
          <cell r="B104" t="str">
            <v xml:space="preserve">Filing Fees </v>
          </cell>
        </row>
        <row r="105">
          <cell r="A105" t="str">
            <v>40201130 11</v>
          </cell>
          <cell r="B105" t="str">
            <v>Review Fees</v>
          </cell>
        </row>
        <row r="106">
          <cell r="A106" t="str">
            <v>40201130 99</v>
          </cell>
          <cell r="B106" t="str">
            <v>Other Processing Fees</v>
          </cell>
        </row>
        <row r="107">
          <cell r="A107" t="str">
            <v>40201140 00</v>
          </cell>
          <cell r="B107" t="str">
            <v xml:space="preserve">Fines and Penalties - Service Income </v>
          </cell>
        </row>
        <row r="108">
          <cell r="A108" t="str">
            <v>40201990 00</v>
          </cell>
          <cell r="B108" t="str">
            <v>Other Service Income</v>
          </cell>
        </row>
        <row r="109">
          <cell r="A109" t="str">
            <v>40201990 06</v>
          </cell>
          <cell r="B109" t="str">
            <v>Other Geological and Energy Data</v>
          </cell>
        </row>
        <row r="110">
          <cell r="A110" t="str">
            <v>40202040 00</v>
          </cell>
          <cell r="B110" t="str">
            <v>Seminar/Training Fees</v>
          </cell>
        </row>
        <row r="111">
          <cell r="A111" t="str">
            <v>40202050 00</v>
          </cell>
          <cell r="B111" t="str">
            <v>Rent/Lease Income</v>
          </cell>
        </row>
        <row r="112">
          <cell r="A112" t="str">
            <v>40202150 00</v>
          </cell>
          <cell r="B112" t="str">
            <v xml:space="preserve">Income from Printing and Publication </v>
          </cell>
        </row>
        <row r="113">
          <cell r="A113" t="str">
            <v>40202160 00</v>
          </cell>
          <cell r="B113" t="str">
            <v>Other Sales</v>
          </cell>
        </row>
        <row r="114">
          <cell r="A114" t="str">
            <v>40202210 00</v>
          </cell>
          <cell r="B114" t="str">
            <v>Interest Income</v>
          </cell>
        </row>
        <row r="115">
          <cell r="A115" t="str">
            <v>40202990 00</v>
          </cell>
          <cell r="B115" t="str">
            <v>Other Business Income</v>
          </cell>
        </row>
        <row r="116">
          <cell r="A116" t="str">
            <v>40301010 00</v>
          </cell>
          <cell r="B116" t="str">
            <v>Subsidy Income from National Government</v>
          </cell>
        </row>
        <row r="117">
          <cell r="A117" t="str">
            <v>40301020 00</v>
          </cell>
          <cell r="B117" t="str">
            <v>Subsidy Income from Other National Government Agencies-MGB Central Office</v>
          </cell>
        </row>
        <row r="118">
          <cell r="A118" t="str">
            <v>40301040 00</v>
          </cell>
          <cell r="B118" t="str">
            <v>Assistance from Government Owned Controlled Corporations</v>
          </cell>
        </row>
        <row r="119">
          <cell r="A119" t="str">
            <v>40301050 00</v>
          </cell>
          <cell r="B119" t="str">
            <v>Subsidy from Other Funds</v>
          </cell>
        </row>
        <row r="120">
          <cell r="A120" t="str">
            <v>40401010 04</v>
          </cell>
          <cell r="B120" t="str">
            <v>Royalties per RA 7160</v>
          </cell>
        </row>
        <row r="121">
          <cell r="A121" t="str">
            <v>40501040 00</v>
          </cell>
          <cell r="B121" t="str">
            <v>Gain on Sale of Property, Plant and Equipment</v>
          </cell>
        </row>
        <row r="122">
          <cell r="A122" t="str">
            <v>40501990 00</v>
          </cell>
          <cell r="B122" t="str">
            <v>Other Gains</v>
          </cell>
        </row>
        <row r="123">
          <cell r="A123" t="str">
            <v>50101010 00</v>
          </cell>
          <cell r="B123" t="str">
            <v>Salaries and Wages - Regular Pay</v>
          </cell>
        </row>
        <row r="124">
          <cell r="A124" t="str">
            <v>50102010 00</v>
          </cell>
          <cell r="B124" t="str">
            <v>Personnel Economic Relief Allowance (PERA)</v>
          </cell>
        </row>
        <row r="125">
          <cell r="A125" t="str">
            <v>50102020 00</v>
          </cell>
          <cell r="B125" t="str">
            <v>Representation Allowance (RA)</v>
          </cell>
        </row>
        <row r="126">
          <cell r="A126" t="str">
            <v>50102030 00</v>
          </cell>
          <cell r="B126" t="str">
            <v>Transportation Allowance(TA)</v>
          </cell>
        </row>
        <row r="127">
          <cell r="A127" t="str">
            <v>50102040 00</v>
          </cell>
          <cell r="B127" t="str">
            <v>Clothing/ Uniform Allowance</v>
          </cell>
        </row>
        <row r="128">
          <cell r="A128" t="str">
            <v>50102050 00</v>
          </cell>
          <cell r="B128" t="str">
            <v>Subsistence Allowance</v>
          </cell>
        </row>
        <row r="129">
          <cell r="A129" t="str">
            <v>50102060 00</v>
          </cell>
          <cell r="B129" t="str">
            <v>Laundry Allowance</v>
          </cell>
        </row>
        <row r="130">
          <cell r="A130" t="str">
            <v>50102070 00</v>
          </cell>
          <cell r="B130" t="str">
            <v>Quarters Allowance</v>
          </cell>
        </row>
        <row r="131">
          <cell r="A131" t="str">
            <v>50102080 00</v>
          </cell>
          <cell r="B131" t="str">
            <v>Productivity Incentive Allowance</v>
          </cell>
        </row>
        <row r="132">
          <cell r="A132" t="str">
            <v>50102100 00</v>
          </cell>
          <cell r="B132" t="str">
            <v>Honoraria</v>
          </cell>
        </row>
        <row r="133">
          <cell r="A133" t="str">
            <v>50102990 00</v>
          </cell>
          <cell r="B133" t="str">
            <v>Other Bonuses &amp; Allowances</v>
          </cell>
        </row>
        <row r="134">
          <cell r="A134" t="str">
            <v>50102990 11</v>
          </cell>
          <cell r="B134" t="str">
            <v>Collective Negotiation Agreement Incentive</v>
          </cell>
        </row>
        <row r="135">
          <cell r="A135" t="str">
            <v>50102120 00</v>
          </cell>
          <cell r="B135" t="str">
            <v>Longevity Pay</v>
          </cell>
        </row>
        <row r="136">
          <cell r="A136" t="str">
            <v>50102130 00</v>
          </cell>
          <cell r="B136" t="str">
            <v>Overtime and Night Pay</v>
          </cell>
        </row>
        <row r="137">
          <cell r="A137" t="str">
            <v>50102140 00</v>
          </cell>
          <cell r="B137" t="str">
            <v>Year End Bonus</v>
          </cell>
        </row>
        <row r="138">
          <cell r="A138" t="str">
            <v>50102150 00</v>
          </cell>
          <cell r="B138" t="str">
            <v>Cash Gift</v>
          </cell>
        </row>
        <row r="139">
          <cell r="A139" t="str">
            <v>50103010 00</v>
          </cell>
          <cell r="B139" t="str">
            <v>Life and Retirement Insurance Premiums</v>
          </cell>
        </row>
        <row r="140">
          <cell r="A140" t="str">
            <v>50103020 00</v>
          </cell>
          <cell r="B140" t="str">
            <v>Pag-IBIG Contributions</v>
          </cell>
        </row>
        <row r="141">
          <cell r="A141" t="str">
            <v>50103030 00</v>
          </cell>
          <cell r="B141" t="str">
            <v>PhilHealth Contributions</v>
          </cell>
        </row>
        <row r="142">
          <cell r="A142" t="str">
            <v>50103040 00</v>
          </cell>
          <cell r="B142" t="str">
            <v>ECC Contributions</v>
          </cell>
        </row>
        <row r="143">
          <cell r="A143" t="str">
            <v>50104020 00</v>
          </cell>
          <cell r="B143" t="str">
            <v>Retirement Gratuity</v>
          </cell>
        </row>
        <row r="144">
          <cell r="A144" t="str">
            <v>50104030 00</v>
          </cell>
          <cell r="B144" t="str">
            <v>Terminal Leave Benefits</v>
          </cell>
        </row>
        <row r="145">
          <cell r="A145" t="str">
            <v>50104990 00</v>
          </cell>
          <cell r="B145" t="str">
            <v>Other Personnel Benefits</v>
          </cell>
        </row>
        <row r="146">
          <cell r="A146" t="str">
            <v>50201010 00</v>
          </cell>
          <cell r="B146" t="str">
            <v>Travelling Expense - Local</v>
          </cell>
        </row>
        <row r="147">
          <cell r="A147" t="str">
            <v>50201020 00</v>
          </cell>
          <cell r="B147" t="str">
            <v>Travelling Expense - Foreign</v>
          </cell>
        </row>
        <row r="148">
          <cell r="A148" t="str">
            <v>50202010 00</v>
          </cell>
          <cell r="B148" t="str">
            <v>Training  Expenses</v>
          </cell>
        </row>
        <row r="149">
          <cell r="A149" t="str">
            <v>50202020 00</v>
          </cell>
          <cell r="B149" t="str">
            <v>Scholarship Expenses</v>
          </cell>
        </row>
        <row r="150">
          <cell r="A150" t="str">
            <v>50203010 00</v>
          </cell>
          <cell r="B150" t="str">
            <v>Office Supplies Expense</v>
          </cell>
        </row>
        <row r="151">
          <cell r="A151" t="str">
            <v>50203020 00</v>
          </cell>
          <cell r="B151" t="str">
            <v>Accountable Forms Expense</v>
          </cell>
        </row>
        <row r="152">
          <cell r="A152" t="str">
            <v>50203030 00</v>
          </cell>
          <cell r="B152" t="str">
            <v>Non-Accountable Forms Expenses</v>
          </cell>
        </row>
        <row r="153">
          <cell r="A153" t="str">
            <v>50203050 00</v>
          </cell>
          <cell r="B153" t="str">
            <v>Food Supplies Expenses</v>
          </cell>
        </row>
        <row r="154">
          <cell r="A154" t="str">
            <v>50203070 00</v>
          </cell>
          <cell r="B154" t="str">
            <v>Drugs and Medicines Expenses</v>
          </cell>
        </row>
        <row r="155">
          <cell r="A155" t="str">
            <v>50203080 00</v>
          </cell>
          <cell r="B155" t="str">
            <v>Medical, Dental &amp; Laboratory Supplies Expense</v>
          </cell>
        </row>
        <row r="156">
          <cell r="A156" t="str">
            <v>50203090 00</v>
          </cell>
          <cell r="B156" t="str">
            <v>Fuel, Oil and Lubricants Expenses</v>
          </cell>
        </row>
        <row r="157">
          <cell r="A157" t="str">
            <v>50203130 00</v>
          </cell>
          <cell r="B157" t="str">
            <v>Chemical &amp; Filtering Supplies Expense</v>
          </cell>
        </row>
        <row r="158">
          <cell r="A158" t="str">
            <v>50203990 00</v>
          </cell>
          <cell r="B158" t="str">
            <v>Other Supplies &amp; Materials Expense</v>
          </cell>
        </row>
        <row r="159">
          <cell r="A159" t="str">
            <v>50204010 00</v>
          </cell>
          <cell r="B159" t="str">
            <v>Water Expenses</v>
          </cell>
        </row>
        <row r="160">
          <cell r="A160" t="str">
            <v>50204020 00</v>
          </cell>
          <cell r="B160" t="str">
            <v>Electricity Expenses</v>
          </cell>
        </row>
        <row r="161">
          <cell r="A161" t="str">
            <v>50205010 00</v>
          </cell>
          <cell r="B161" t="str">
            <v>Postage and Courier Services</v>
          </cell>
        </row>
        <row r="162">
          <cell r="A162" t="str">
            <v>50205020 01</v>
          </cell>
          <cell r="B162" t="str">
            <v>Telephone Expenses - Mobile</v>
          </cell>
        </row>
        <row r="163">
          <cell r="A163" t="str">
            <v>50205020 02</v>
          </cell>
          <cell r="B163" t="str">
            <v>Telephone Expenses - LandLine</v>
          </cell>
        </row>
        <row r="164">
          <cell r="A164" t="str">
            <v>50205030 00</v>
          </cell>
          <cell r="B164" t="str">
            <v>Internet Expenses</v>
          </cell>
        </row>
        <row r="165">
          <cell r="A165" t="str">
            <v>50205040 00</v>
          </cell>
          <cell r="B165" t="str">
            <v>Cable,Satellite,Telegraph, and Radio Expenses</v>
          </cell>
        </row>
        <row r="166">
          <cell r="A166" t="str">
            <v>50206020 00</v>
          </cell>
          <cell r="B166" t="str">
            <v>Prizes</v>
          </cell>
        </row>
        <row r="167">
          <cell r="A167" t="str">
            <v>50207010 00</v>
          </cell>
          <cell r="B167" t="str">
            <v>Survey Expense</v>
          </cell>
        </row>
        <row r="168">
          <cell r="A168" t="str">
            <v>50210030 00</v>
          </cell>
          <cell r="B168" t="str">
            <v xml:space="preserve">Extraordinary and Miscellaneous Expenses </v>
          </cell>
        </row>
        <row r="169">
          <cell r="A169" t="str">
            <v>50211010 00</v>
          </cell>
          <cell r="B169" t="str">
            <v>Legal Services</v>
          </cell>
        </row>
        <row r="170">
          <cell r="A170" t="str">
            <v>50211020 00</v>
          </cell>
          <cell r="B170" t="str">
            <v>Auditing Services</v>
          </cell>
        </row>
        <row r="171">
          <cell r="A171" t="str">
            <v>50211030 00</v>
          </cell>
          <cell r="B171" t="str">
            <v>Consultancy Services</v>
          </cell>
        </row>
        <row r="172">
          <cell r="A172" t="str">
            <v>50211990 00</v>
          </cell>
          <cell r="B172" t="str">
            <v>Other Professional Services</v>
          </cell>
        </row>
        <row r="173">
          <cell r="A173" t="str">
            <v>50212020 00</v>
          </cell>
          <cell r="B173" t="str">
            <v>Janitorial Services</v>
          </cell>
        </row>
        <row r="174">
          <cell r="A174" t="str">
            <v>50212030 00</v>
          </cell>
          <cell r="B174" t="str">
            <v>Security Services</v>
          </cell>
        </row>
        <row r="175">
          <cell r="A175" t="str">
            <v>50212990 00</v>
          </cell>
          <cell r="B175" t="str">
            <v>Other General Services</v>
          </cell>
        </row>
        <row r="176">
          <cell r="A176" t="str">
            <v>50213040 00</v>
          </cell>
          <cell r="B176" t="str">
            <v>Repairs and Maintenance - Office Buildings</v>
          </cell>
        </row>
        <row r="177">
          <cell r="A177" t="str">
            <v>50213050 01</v>
          </cell>
          <cell r="B177" t="str">
            <v xml:space="preserve">Repairs and Maintenance - Machinery </v>
          </cell>
        </row>
        <row r="178">
          <cell r="A178" t="str">
            <v>50213050 02</v>
          </cell>
          <cell r="B178" t="str">
            <v>Repairs and Maintenance - Office Equipment</v>
          </cell>
        </row>
        <row r="179">
          <cell r="A179" t="str">
            <v>50213050 03</v>
          </cell>
          <cell r="B179" t="str">
            <v>Repairs and Maintenance - ICT Equipment</v>
          </cell>
        </row>
        <row r="180">
          <cell r="A180" t="str">
            <v>50213050 14</v>
          </cell>
          <cell r="B180" t="str">
            <v>Repairs and Maintenance - Technical and Scientific Equipment</v>
          </cell>
        </row>
        <row r="181">
          <cell r="A181" t="str">
            <v>50213050 99</v>
          </cell>
          <cell r="B181" t="str">
            <v>Repairs and Maintenance - Other Machinery &amp; Equipment</v>
          </cell>
        </row>
        <row r="182">
          <cell r="A182" t="str">
            <v>50213060 01</v>
          </cell>
          <cell r="B182" t="str">
            <v>Repairs and Maintenance - Motor Vehicles</v>
          </cell>
        </row>
        <row r="183">
          <cell r="A183" t="str">
            <v>50213060 04</v>
          </cell>
          <cell r="B183" t="str">
            <v>Repairs and Maintenance - Watercrafts</v>
          </cell>
        </row>
        <row r="184">
          <cell r="A184" t="str">
            <v>50213080 01</v>
          </cell>
          <cell r="B184" t="str">
            <v>Repairs and Maintenance - Furniture and Fixtures</v>
          </cell>
        </row>
        <row r="185">
          <cell r="A185" t="str">
            <v>50213990 00</v>
          </cell>
          <cell r="B185" t="str">
            <v>Repairs and Maintenance - Leased Assets Improvements</v>
          </cell>
        </row>
        <row r="186">
          <cell r="A186" t="str">
            <v>50213990 99</v>
          </cell>
          <cell r="B186" t="str">
            <v>Repairs and Maintenance - Other Property, Plant and Equipment</v>
          </cell>
        </row>
        <row r="187">
          <cell r="A187" t="str">
            <v>50214050 00</v>
          </cell>
          <cell r="B187" t="str">
            <v>Financial Assistance to NGOs/POs</v>
          </cell>
        </row>
        <row r="188">
          <cell r="A188" t="str">
            <v>50214990 01</v>
          </cell>
          <cell r="B188" t="str">
            <v>Subsidy to Regional Offices/Staff Bureaus</v>
          </cell>
        </row>
        <row r="189">
          <cell r="A189" t="str">
            <v>50215010 00</v>
          </cell>
          <cell r="B189" t="str">
            <v>Taxes,Duties and Licenses</v>
          </cell>
        </row>
        <row r="190">
          <cell r="A190" t="str">
            <v>50215020 00</v>
          </cell>
          <cell r="B190" t="str">
            <v>Fidelity Bond Premiums</v>
          </cell>
        </row>
        <row r="191">
          <cell r="A191" t="str">
            <v>50215030 00</v>
          </cell>
          <cell r="B191" t="str">
            <v>Insurance Expense</v>
          </cell>
        </row>
        <row r="192">
          <cell r="A192" t="str">
            <v>50216010 00</v>
          </cell>
          <cell r="B192" t="str">
            <v>Labor and Wages</v>
          </cell>
        </row>
        <row r="193">
          <cell r="A193" t="str">
            <v>50299010 00</v>
          </cell>
          <cell r="B193" t="str">
            <v>Advertising Expense</v>
          </cell>
        </row>
        <row r="194">
          <cell r="A194" t="str">
            <v>50299020 00</v>
          </cell>
          <cell r="B194" t="str">
            <v>Printing and Publication Expenses</v>
          </cell>
        </row>
        <row r="195">
          <cell r="A195" t="str">
            <v>50299030 00</v>
          </cell>
          <cell r="B195" t="str">
            <v>Representation Expenses</v>
          </cell>
        </row>
        <row r="196">
          <cell r="A196" t="str">
            <v>50299040 00</v>
          </cell>
          <cell r="B196" t="str">
            <v>Transportation and Delivery Expenses</v>
          </cell>
        </row>
        <row r="197">
          <cell r="A197" t="str">
            <v>50299050 00</v>
          </cell>
          <cell r="B197" t="str">
            <v>Rent/Lease Expense</v>
          </cell>
        </row>
        <row r="198">
          <cell r="A198" t="str">
            <v>50299060 00</v>
          </cell>
          <cell r="B198" t="str">
            <v>Membership Dues and Contributions to Organizations</v>
          </cell>
        </row>
        <row r="199">
          <cell r="A199" t="str">
            <v>50299070 00</v>
          </cell>
          <cell r="B199" t="str">
            <v>Subscriptions Expenses</v>
          </cell>
        </row>
        <row r="200">
          <cell r="A200" t="str">
            <v>50299080 00</v>
          </cell>
          <cell r="B200" t="str">
            <v>Donations</v>
          </cell>
        </row>
        <row r="201">
          <cell r="A201" t="str">
            <v>50299990 00</v>
          </cell>
          <cell r="B201" t="str">
            <v xml:space="preserve">Other Maintenance and Operating Expenses  </v>
          </cell>
        </row>
        <row r="202">
          <cell r="A202" t="str">
            <v>50299990 01</v>
          </cell>
          <cell r="B202" t="str">
            <v>Website Maintenance</v>
          </cell>
        </row>
        <row r="203">
          <cell r="A203" t="str">
            <v>50301040 00</v>
          </cell>
          <cell r="B203" t="str">
            <v>Bank Charges</v>
          </cell>
        </row>
        <row r="204">
          <cell r="A204" t="str">
            <v>50501020 00</v>
          </cell>
          <cell r="B204" t="str">
            <v>Depreciation - Land Improvements</v>
          </cell>
        </row>
        <row r="205">
          <cell r="A205" t="str">
            <v>50501020 99</v>
          </cell>
          <cell r="B205" t="str">
            <v>Depreciation - Other Land Improvements</v>
          </cell>
        </row>
        <row r="206">
          <cell r="A206" t="str">
            <v>50501040 00</v>
          </cell>
          <cell r="B206" t="str">
            <v>Depreciation - Office Buildings  &amp; Other Structures</v>
          </cell>
        </row>
        <row r="207">
          <cell r="A207" t="str">
            <v>50501050 00</v>
          </cell>
          <cell r="B207" t="str">
            <v>Depreciation - Machinery and Equipment</v>
          </cell>
        </row>
        <row r="208">
          <cell r="A208" t="str">
            <v>50501050 02</v>
          </cell>
          <cell r="B208" t="str">
            <v>Depreciation - Office Equipment</v>
          </cell>
        </row>
        <row r="209">
          <cell r="A209" t="str">
            <v>50501050 03</v>
          </cell>
          <cell r="B209" t="str">
            <v>Depreciation - ICT Equipment</v>
          </cell>
        </row>
        <row r="210">
          <cell r="A210" t="str">
            <v>50501050 07</v>
          </cell>
          <cell r="B210" t="str">
            <v>Depreciation - Communication Equipment</v>
          </cell>
        </row>
        <row r="211">
          <cell r="A211" t="str">
            <v>50501050 08</v>
          </cell>
          <cell r="B211" t="str">
            <v>Depreciation - Construction and Heavy Equipt.</v>
          </cell>
        </row>
        <row r="212">
          <cell r="A212" t="str">
            <v>50501050 09</v>
          </cell>
          <cell r="B212" t="str">
            <v>Depreciation - Disaster Response and Rescue Equipment</v>
          </cell>
        </row>
        <row r="213">
          <cell r="A213" t="str">
            <v>50501050 10</v>
          </cell>
          <cell r="B213" t="str">
            <v>Depreciation - Military and Police Equipment</v>
          </cell>
        </row>
        <row r="214">
          <cell r="A214" t="str">
            <v>50501050 11</v>
          </cell>
          <cell r="B214" t="str">
            <v>Depreciation - Medical Equipment</v>
          </cell>
        </row>
        <row r="215">
          <cell r="A215" t="str">
            <v>50501050 14</v>
          </cell>
          <cell r="B215" t="str">
            <v>Depreciation - Technical and Scientific Equipment</v>
          </cell>
        </row>
        <row r="216">
          <cell r="A216" t="str">
            <v>50501050 99</v>
          </cell>
          <cell r="B216" t="str">
            <v>Depreciation - Other  Machineries and Equipment</v>
          </cell>
        </row>
        <row r="217">
          <cell r="A217" t="str">
            <v>50501060 01</v>
          </cell>
          <cell r="B217" t="str">
            <v>Depreciation - Motor Vehicles</v>
          </cell>
        </row>
        <row r="218">
          <cell r="A218" t="str">
            <v>50501060 04</v>
          </cell>
          <cell r="B218" t="str">
            <v>Depreciation - Watercrafts</v>
          </cell>
        </row>
        <row r="219">
          <cell r="A219" t="str">
            <v>50501070 00</v>
          </cell>
          <cell r="B219" t="str">
            <v>Depreciation - Furniture,Fixtures and Books</v>
          </cell>
        </row>
        <row r="220">
          <cell r="A220" t="str">
            <v>50501090 02</v>
          </cell>
          <cell r="B220" t="str">
            <v>Depreciation - Leased Assets Improvements, Buildings</v>
          </cell>
        </row>
        <row r="221">
          <cell r="A221" t="str">
            <v>50501990 00</v>
          </cell>
          <cell r="B221" t="str">
            <v>Depreciation - Other Property,Plant and Equipment</v>
          </cell>
        </row>
      </sheetData>
      <sheetData sheetId="1"/>
      <sheetData sheetId="2"/>
      <sheetData sheetId="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Collecting Officer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Collection of fees</v>
          </cell>
          <cell r="F11">
            <v>403465</v>
          </cell>
        </row>
        <row r="12">
          <cell r="D12" t="str">
            <v>Total deposit</v>
          </cell>
          <cell r="H12">
            <v>403315</v>
          </cell>
        </row>
        <row r="13">
          <cell r="D13" t="str">
            <v>Collection of fees</v>
          </cell>
          <cell r="F13">
            <v>436567.14</v>
          </cell>
        </row>
        <row r="14">
          <cell r="D14" t="str">
            <v>Total deposit</v>
          </cell>
          <cell r="H14">
            <v>436612.14</v>
          </cell>
        </row>
        <row r="15">
          <cell r="D15" t="str">
            <v>Collection of fees</v>
          </cell>
          <cell r="F15">
            <v>1119263.03</v>
          </cell>
        </row>
        <row r="16">
          <cell r="D16" t="str">
            <v>Total deposit</v>
          </cell>
          <cell r="H16">
            <v>1119263.03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1959295.17</v>
          </cell>
          <cell r="H79">
            <v>1959190.17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1959295.17</v>
          </cell>
          <cell r="H147">
            <v>1959190.17</v>
          </cell>
        </row>
      </sheetData>
      <sheetData sheetId="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Petty Cash Fund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CA for PCF</v>
          </cell>
          <cell r="F11">
            <v>40000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40000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40000</v>
          </cell>
          <cell r="H147">
            <v>0</v>
          </cell>
        </row>
      </sheetData>
      <sheetData sheetId="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in Bank - Local Currency, Current Account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662458.87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662458.87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662458.87</v>
          </cell>
          <cell r="H147">
            <v>0</v>
          </cell>
        </row>
      </sheetData>
      <sheetData sheetId="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Treasury/Agency Deposit, Regular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Deposit of fees</v>
          </cell>
          <cell r="F11">
            <v>403315</v>
          </cell>
        </row>
        <row r="12">
          <cell r="D12" t="str">
            <v>Deposit of fees</v>
          </cell>
          <cell r="F12">
            <v>429426</v>
          </cell>
        </row>
        <row r="13">
          <cell r="D13" t="str">
            <v>Deposit of fees</v>
          </cell>
          <cell r="F13">
            <v>438760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1271501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1271501</v>
          </cell>
          <cell r="H147">
            <v>0</v>
          </cell>
        </row>
      </sheetData>
      <sheetData sheetId="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Treasury/Agency Deposit, Special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Treasury/Agency Deposit, Trust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Modified Disbursement System (MDS), Regular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NCA received for the month of Jan. 2016</v>
          </cell>
          <cell r="F11">
            <v>1695000</v>
          </cell>
        </row>
        <row r="12">
          <cell r="D12" t="str">
            <v xml:space="preserve">Total disbursement </v>
          </cell>
          <cell r="H12">
            <v>742722.65</v>
          </cell>
        </row>
        <row r="13">
          <cell r="D13" t="str">
            <v xml:space="preserve">Total disbursement </v>
          </cell>
          <cell r="H13">
            <v>686298.23</v>
          </cell>
        </row>
        <row r="14">
          <cell r="D14" t="str">
            <v>NCA received for the month of Feb. 2016</v>
          </cell>
          <cell r="F14">
            <v>2128000</v>
          </cell>
        </row>
        <row r="15">
          <cell r="D15" t="str">
            <v xml:space="preserve">Total disbursement </v>
          </cell>
          <cell r="H15">
            <v>778835.52999999991</v>
          </cell>
        </row>
        <row r="16">
          <cell r="D16" t="str">
            <v xml:space="preserve">Total disbursement </v>
          </cell>
          <cell r="H16">
            <v>1277622.75</v>
          </cell>
        </row>
        <row r="17">
          <cell r="D17" t="str">
            <v>NCA received for the month of Mar 2016</v>
          </cell>
          <cell r="F17">
            <v>2207000</v>
          </cell>
        </row>
        <row r="18">
          <cell r="D18" t="str">
            <v xml:space="preserve">Total disbursement </v>
          </cell>
          <cell r="H18">
            <v>959853.45999999985</v>
          </cell>
        </row>
        <row r="19">
          <cell r="D19" t="str">
            <v xml:space="preserve">Total disbursement </v>
          </cell>
          <cell r="H19">
            <v>1583495.0400000003</v>
          </cell>
        </row>
        <row r="20">
          <cell r="D20" t="str">
            <v>Reversion</v>
          </cell>
          <cell r="H20">
            <v>1172.339999999851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6030000</v>
          </cell>
          <cell r="H79">
            <v>6029999.9999999991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6030000</v>
          </cell>
          <cell r="H147">
            <v>6029999.9999999991</v>
          </cell>
        </row>
      </sheetData>
      <sheetData sheetId="1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Modified Disbursement System (MDS), Special Account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- Tax Remittance Advice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Constructive receipt of NCA thru TRA</v>
          </cell>
          <cell r="F11">
            <v>175024.96000000002</v>
          </cell>
        </row>
        <row r="12">
          <cell r="D12" t="str">
            <v>Remittance thru TRA</v>
          </cell>
          <cell r="H12">
            <v>175024.96000000002</v>
          </cell>
        </row>
        <row r="13">
          <cell r="D13" t="str">
            <v>Constructive receipt of NCA thru TRA</v>
          </cell>
          <cell r="F13">
            <v>192292.23</v>
          </cell>
        </row>
        <row r="14">
          <cell r="D14" t="str">
            <v>Remittance thru TRA</v>
          </cell>
          <cell r="H14">
            <v>192292.23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367317.19000000006</v>
          </cell>
          <cell r="H79">
            <v>367317.19000000006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367317.19000000006</v>
          </cell>
          <cell r="H147">
            <v>367317.19000000006</v>
          </cell>
        </row>
      </sheetData>
      <sheetData sheetId="1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Accounts Receivable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Receivables - Disallowances/Charges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150868.79999999999</v>
          </cell>
        </row>
        <row r="12">
          <cell r="D12" t="str">
            <v>Set-up receivable of EO 366 retirees</v>
          </cell>
          <cell r="F12">
            <v>154186.94</v>
          </cell>
        </row>
        <row r="13">
          <cell r="D13" t="str">
            <v>Collection of receivable</v>
          </cell>
          <cell r="H13">
            <v>154186.94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305055.74</v>
          </cell>
          <cell r="H79">
            <v>154186.94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305055.74</v>
          </cell>
          <cell r="H147">
            <v>154186.94</v>
          </cell>
        </row>
      </sheetData>
      <sheetData sheetId="1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from Officers &amp; Employees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AJE on under deduction of taxes for FY 2015(remitted not w/held)</v>
          </cell>
          <cell r="F11">
            <v>5040</v>
          </cell>
        </row>
        <row r="12">
          <cell r="D12" t="str">
            <v>Set-up receivable of EO 366 retirees</v>
          </cell>
          <cell r="F12">
            <v>504293.08</v>
          </cell>
        </row>
        <row r="13">
          <cell r="D13" t="str">
            <v>Collection of receivable</v>
          </cell>
          <cell r="H13">
            <v>504293.08</v>
          </cell>
        </row>
        <row r="14">
          <cell r="D14" t="str">
            <v>Reclassification entry -unliquidated CA of Atty. Mahusay</v>
          </cell>
          <cell r="F14">
            <v>16019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525352.08000000007</v>
          </cell>
          <cell r="H79">
            <v>504293.08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525352.08000000007</v>
          </cell>
          <cell r="H147">
            <v>504293.08</v>
          </cell>
        </row>
      </sheetData>
      <sheetData sheetId="1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Receivables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Set up receivable-overremittance to HDMF</v>
          </cell>
          <cell r="F11">
            <v>931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931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931</v>
          </cell>
          <cell r="H147">
            <v>0</v>
          </cell>
        </row>
      </sheetData>
      <sheetData sheetId="1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Office Supplies Inventory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809037.6</v>
          </cell>
        </row>
        <row r="12">
          <cell r="D12" t="str">
            <v xml:space="preserve">Supplies used </v>
          </cell>
          <cell r="H12">
            <v>78528.42</v>
          </cell>
        </row>
        <row r="13">
          <cell r="D13" t="str">
            <v>Total purchases</v>
          </cell>
          <cell r="F13">
            <v>11460</v>
          </cell>
        </row>
        <row r="14">
          <cell r="D14" t="str">
            <v xml:space="preserve">Supplies used </v>
          </cell>
          <cell r="H14">
            <v>36090.01</v>
          </cell>
        </row>
        <row r="15">
          <cell r="D15" t="str">
            <v>Total purchases</v>
          </cell>
          <cell r="F15">
            <v>63331.5</v>
          </cell>
        </row>
        <row r="16">
          <cell r="D16" t="str">
            <v xml:space="preserve">Supplies used </v>
          </cell>
          <cell r="H16">
            <v>34782.89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883829.1</v>
          </cell>
          <cell r="H79">
            <v>149401.32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883829.1</v>
          </cell>
          <cell r="H147">
            <v>149401.32</v>
          </cell>
        </row>
      </sheetData>
      <sheetData sheetId="1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Accountable Forms, Plates and Stickers Inventory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198700</v>
          </cell>
        </row>
        <row r="12">
          <cell r="D12" t="str">
            <v>Forms used</v>
          </cell>
          <cell r="H12">
            <v>12758</v>
          </cell>
        </row>
        <row r="13">
          <cell r="D13" t="str">
            <v>Forms used</v>
          </cell>
          <cell r="H13">
            <v>15578</v>
          </cell>
        </row>
        <row r="14">
          <cell r="D14" t="str">
            <v>Forms used</v>
          </cell>
          <cell r="H14">
            <v>16266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198700</v>
          </cell>
          <cell r="H79">
            <v>44602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198700</v>
          </cell>
          <cell r="H147">
            <v>44602</v>
          </cell>
        </row>
      </sheetData>
      <sheetData sheetId="1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Medical, Dental &amp; Laboratory Supplies Inventory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53600</v>
          </cell>
        </row>
        <row r="12">
          <cell r="D12" t="str">
            <v>Total Purchases</v>
          </cell>
          <cell r="F12">
            <v>6900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60500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60500</v>
          </cell>
          <cell r="H147">
            <v>0</v>
          </cell>
        </row>
      </sheetData>
      <sheetData sheetId="1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Supplies and Materials Inventory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224143.34000000003</v>
          </cell>
        </row>
        <row r="12">
          <cell r="D12" t="str">
            <v>Supplies used</v>
          </cell>
          <cell r="H12">
            <v>1438</v>
          </cell>
        </row>
        <row r="13">
          <cell r="D13" t="str">
            <v>Supplies used</v>
          </cell>
          <cell r="H13">
            <v>898.75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224143.34000000003</v>
          </cell>
          <cell r="H79">
            <v>2336.75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224143.34000000003</v>
          </cell>
          <cell r="H147">
            <v>2336.75</v>
          </cell>
        </row>
      </sheetData>
      <sheetData sheetId="2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Land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551250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551250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551250</v>
          </cell>
          <cell r="H147">
            <v>0</v>
          </cell>
        </row>
      </sheetData>
      <sheetData sheetId="2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Land Improvements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525000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525000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525000</v>
          </cell>
          <cell r="H147">
            <v>0</v>
          </cell>
        </row>
      </sheetData>
      <sheetData sheetId="2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Other Land Improvements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468562.5</v>
          </cell>
        </row>
        <row r="12">
          <cell r="D12" t="str">
            <v>Depreciation for the month</v>
          </cell>
          <cell r="H12">
            <v>196.88</v>
          </cell>
        </row>
        <row r="13">
          <cell r="D13" t="str">
            <v>Depreciation for the month</v>
          </cell>
          <cell r="H13">
            <v>196.87</v>
          </cell>
        </row>
        <row r="14">
          <cell r="D14" t="str">
            <v>Depreciation for the month</v>
          </cell>
          <cell r="H14">
            <v>196.88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469153.13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469153.13</v>
          </cell>
        </row>
      </sheetData>
      <sheetData sheetId="2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Power Supply Systems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2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Office Buildings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8564966.2699999996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8564966.2699999996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8564966.2699999996</v>
          </cell>
          <cell r="H147">
            <v>0</v>
          </cell>
        </row>
      </sheetData>
      <sheetData sheetId="2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Accumulated Depreciation - Office Buildings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1855327.44</v>
          </cell>
        </row>
        <row r="12">
          <cell r="D12" t="str">
            <v>Depreciation for the month</v>
          </cell>
          <cell r="H12">
            <v>20312.419999999998</v>
          </cell>
        </row>
        <row r="13">
          <cell r="D13" t="str">
            <v>Depreciation for the month</v>
          </cell>
          <cell r="H13">
            <v>20312.41</v>
          </cell>
        </row>
        <row r="14">
          <cell r="D14" t="str">
            <v>Depreciation for the month</v>
          </cell>
          <cell r="H14">
            <v>20312.419999999998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1916264.6899999997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1916264.6899999997</v>
          </cell>
        </row>
      </sheetData>
      <sheetData sheetId="2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Structures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2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Other Structures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2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Machinery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2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Machinery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3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Office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1267376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1267376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1267376</v>
          </cell>
          <cell r="H147">
            <v>0</v>
          </cell>
        </row>
      </sheetData>
      <sheetData sheetId="3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Office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942978.23</v>
          </cell>
        </row>
        <row r="12">
          <cell r="D12" t="str">
            <v>Depreciation for the month</v>
          </cell>
          <cell r="H12">
            <v>5925.08</v>
          </cell>
        </row>
        <row r="13">
          <cell r="D13" t="str">
            <v>Depreciation for the month</v>
          </cell>
          <cell r="H13">
            <v>5925.07</v>
          </cell>
        </row>
        <row r="14">
          <cell r="D14" t="str">
            <v>Depreciation for the month</v>
          </cell>
          <cell r="H14">
            <v>5925.08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960753.45999999985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960753.45999999985</v>
          </cell>
        </row>
      </sheetData>
      <sheetData sheetId="3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Information and Communication Technology  Equipment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5320523.72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5320523.72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5320523.72</v>
          </cell>
          <cell r="H147">
            <v>0</v>
          </cell>
        </row>
      </sheetData>
      <sheetData sheetId="3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IT Equipment &amp; Software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4075951.4</v>
          </cell>
        </row>
        <row r="12">
          <cell r="D12" t="str">
            <v>Depreciation for the month</v>
          </cell>
          <cell r="H12">
            <v>24251.439999999999</v>
          </cell>
        </row>
        <row r="13">
          <cell r="D13" t="str">
            <v>Depreciation for the month</v>
          </cell>
          <cell r="H13">
            <v>24251.02</v>
          </cell>
        </row>
        <row r="14">
          <cell r="D14" t="str">
            <v>Depreciation for the month</v>
          </cell>
          <cell r="H14">
            <v>24251.439999999999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4148705.3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4148705.3</v>
          </cell>
        </row>
      </sheetData>
      <sheetData sheetId="3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Communication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58765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58765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58765</v>
          </cell>
          <cell r="H147">
            <v>0</v>
          </cell>
        </row>
      </sheetData>
      <sheetData sheetId="3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Communication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38082.46</v>
          </cell>
        </row>
        <row r="12">
          <cell r="D12" t="str">
            <v>Depreciation for the month</v>
          </cell>
          <cell r="H12">
            <v>223.25</v>
          </cell>
        </row>
        <row r="13">
          <cell r="D13" t="str">
            <v>Depreciation for the month</v>
          </cell>
          <cell r="H13">
            <v>223.23</v>
          </cell>
        </row>
        <row r="14">
          <cell r="D14" t="str">
            <v>Depreciation for the month</v>
          </cell>
          <cell r="H14">
            <v>223.24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38752.18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38752.18</v>
          </cell>
        </row>
      </sheetData>
      <sheetData sheetId="3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Technical and Scientific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14083970.4</v>
          </cell>
        </row>
        <row r="12">
          <cell r="D12" t="str">
            <v>Receipt of PPE from MGB-CO</v>
          </cell>
          <cell r="F12">
            <v>19750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14103720.4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14103720.4</v>
          </cell>
          <cell r="H147">
            <v>0</v>
          </cell>
        </row>
      </sheetData>
      <sheetData sheetId="3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Technical and Scientific Equipt.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4678670.57</v>
          </cell>
        </row>
        <row r="12">
          <cell r="D12" t="str">
            <v>Depreciation for the month</v>
          </cell>
          <cell r="H12">
            <v>94005.84</v>
          </cell>
        </row>
        <row r="13">
          <cell r="D13" t="str">
            <v>Depreciation for the month</v>
          </cell>
          <cell r="H13">
            <v>94005.71</v>
          </cell>
        </row>
        <row r="14">
          <cell r="D14" t="str">
            <v>Depreciation for the month</v>
          </cell>
          <cell r="H14">
            <v>94005.84</v>
          </cell>
        </row>
        <row r="15">
          <cell r="D15" t="str">
            <v>Depreciation of PPE from Central Office</v>
          </cell>
          <cell r="H15">
            <v>3366.48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4964054.4400000004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4964054.4400000004</v>
          </cell>
        </row>
      </sheetData>
      <sheetData sheetId="3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Motor Vehicles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4244500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4244500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4244500</v>
          </cell>
          <cell r="H147">
            <v>0</v>
          </cell>
        </row>
      </sheetData>
      <sheetData sheetId="3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Motor Vehicles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2784085.72</v>
          </cell>
        </row>
        <row r="12">
          <cell r="D12" t="str">
            <v>Depreciation for the month</v>
          </cell>
          <cell r="H12">
            <v>7066.07</v>
          </cell>
        </row>
        <row r="13">
          <cell r="D13" t="str">
            <v>Depreciation for the month</v>
          </cell>
          <cell r="H13">
            <v>22066.07</v>
          </cell>
        </row>
        <row r="14">
          <cell r="D14" t="str">
            <v>Depreciation for the month</v>
          </cell>
          <cell r="H14">
            <v>22066.07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2835283.9299999997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2835283.9299999997</v>
          </cell>
        </row>
      </sheetData>
      <sheetData sheetId="4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Furniture and Fixtures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1494617.21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1494617.21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1494617.21</v>
          </cell>
          <cell r="H147">
            <v>0</v>
          </cell>
        </row>
      </sheetData>
      <sheetData sheetId="4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Furniture and Fixtures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491008.39</v>
          </cell>
        </row>
        <row r="12">
          <cell r="D12" t="str">
            <v>Depreciation for the month</v>
          </cell>
          <cell r="H12">
            <v>9113.01</v>
          </cell>
        </row>
        <row r="13">
          <cell r="D13" t="str">
            <v>Depreciation for the month</v>
          </cell>
          <cell r="H13">
            <v>9112.33</v>
          </cell>
        </row>
        <row r="14">
          <cell r="D14" t="str">
            <v>Depreciation for the month</v>
          </cell>
          <cell r="H14">
            <v>9113.01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518346.74000000005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518346.74000000005</v>
          </cell>
        </row>
      </sheetData>
      <sheetData sheetId="4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Construction in Progress - Buildings &amp; Other Structures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6521489.2300000004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6521489.2300000004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6521489.2300000004</v>
          </cell>
          <cell r="H147">
            <v>0</v>
          </cell>
        </row>
      </sheetData>
      <sheetData sheetId="4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Property,Plant and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691130</v>
          </cell>
        </row>
        <row r="12">
          <cell r="D12" t="str">
            <v>Receipt of PPE from MGB C.O</v>
          </cell>
          <cell r="F12">
            <v>23790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714920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714920</v>
          </cell>
          <cell r="H147">
            <v>0</v>
          </cell>
        </row>
      </sheetData>
      <sheetData sheetId="4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Depreciation - Other Property, Plant &amp; Eqp't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386157.58</v>
          </cell>
        </row>
        <row r="12">
          <cell r="D12" t="str">
            <v>Depreciation for the month</v>
          </cell>
          <cell r="H12">
            <v>6789.25</v>
          </cell>
        </row>
        <row r="13">
          <cell r="D13" t="str">
            <v>Depreciation for the month</v>
          </cell>
          <cell r="H13">
            <v>6789.26</v>
          </cell>
        </row>
        <row r="14">
          <cell r="D14" t="str">
            <v>Depreciation for the month</v>
          </cell>
          <cell r="H14">
            <v>6789.35</v>
          </cell>
        </row>
        <row r="15">
          <cell r="D15" t="str">
            <v>Accumulated depreciation of PPE from central office</v>
          </cell>
          <cell r="H15">
            <v>8861.7800000000007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415387.22000000003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415387.22000000003</v>
          </cell>
        </row>
      </sheetData>
      <sheetData sheetId="4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Computer Software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4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Advances for Payroll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4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Advances to Special Disbursing Officer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16019</v>
          </cell>
        </row>
        <row r="12">
          <cell r="D12" t="str">
            <v>Total CA</v>
          </cell>
          <cell r="F12">
            <v>56300</v>
          </cell>
        </row>
        <row r="13">
          <cell r="D13" t="str">
            <v>Refund of unused CA</v>
          </cell>
          <cell r="H13">
            <v>6150.14</v>
          </cell>
        </row>
        <row r="14">
          <cell r="D14" t="str">
            <v>Total CA</v>
          </cell>
          <cell r="F14">
            <v>77500</v>
          </cell>
        </row>
        <row r="15">
          <cell r="D15" t="str">
            <v>Liquidatio of CA</v>
          </cell>
          <cell r="H15">
            <v>50149.86</v>
          </cell>
        </row>
        <row r="16">
          <cell r="D16" t="str">
            <v>Refund of unused CA</v>
          </cell>
          <cell r="H16">
            <v>3644.01</v>
          </cell>
        </row>
        <row r="17">
          <cell r="D17" t="str">
            <v>Total CA</v>
          </cell>
          <cell r="F17">
            <v>124428</v>
          </cell>
        </row>
        <row r="18">
          <cell r="D18" t="str">
            <v>Reclassification entry- unliquidated CA of G. Mahusay</v>
          </cell>
          <cell r="H18">
            <v>16019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274247</v>
          </cell>
          <cell r="H79">
            <v>75963.010000000009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274247</v>
          </cell>
          <cell r="H147">
            <v>75963.010000000009</v>
          </cell>
        </row>
      </sheetData>
      <sheetData sheetId="4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Advances to Officers and Employees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CA</v>
          </cell>
          <cell r="F11">
            <v>14940</v>
          </cell>
        </row>
        <row r="12">
          <cell r="D12" t="str">
            <v>Refund of unused CA</v>
          </cell>
          <cell r="H12">
            <v>886</v>
          </cell>
        </row>
        <row r="13">
          <cell r="D13" t="str">
            <v>Total CA</v>
          </cell>
          <cell r="F13">
            <v>61710</v>
          </cell>
        </row>
        <row r="14">
          <cell r="D14" t="str">
            <v>Liquidation of CA</v>
          </cell>
          <cell r="H14">
            <v>30502</v>
          </cell>
        </row>
        <row r="15">
          <cell r="D15" t="str">
            <v>Refund of unused CA</v>
          </cell>
          <cell r="H15">
            <v>18379</v>
          </cell>
        </row>
        <row r="16">
          <cell r="D16" t="str">
            <v>Total CA</v>
          </cell>
          <cell r="F16">
            <v>124681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201331</v>
          </cell>
          <cell r="H79">
            <v>49767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201331</v>
          </cell>
          <cell r="H147">
            <v>49767</v>
          </cell>
        </row>
      </sheetData>
      <sheetData sheetId="4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Advances to Contractors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22453.759999999995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22453.759999999995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22453.759999999995</v>
          </cell>
          <cell r="H147">
            <v>0</v>
          </cell>
        </row>
      </sheetData>
      <sheetData sheetId="5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Prepaid Rent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5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Prepaid Registration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5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Prepaid Insurance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39612.94</v>
          </cell>
        </row>
        <row r="12">
          <cell r="D12" t="str">
            <v>Expired portion</v>
          </cell>
          <cell r="H12">
            <v>7458.6399999999994</v>
          </cell>
        </row>
        <row r="13">
          <cell r="D13" t="str">
            <v>Expired portion</v>
          </cell>
          <cell r="H13">
            <v>7730.44</v>
          </cell>
        </row>
        <row r="14">
          <cell r="D14" t="str">
            <v>Expired portion</v>
          </cell>
          <cell r="H14">
            <v>8088.5499999999993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39612.94</v>
          </cell>
          <cell r="H79">
            <v>23277.629999999997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39612.94</v>
          </cell>
          <cell r="H147">
            <v>23277.629999999997</v>
          </cell>
        </row>
      </sheetData>
      <sheetData sheetId="5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Prepayments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Renewal of Bond (LBA)</v>
          </cell>
          <cell r="F11">
            <v>5253.75</v>
          </cell>
        </row>
        <row r="12">
          <cell r="D12" t="str">
            <v>Total payments of Fidelity Bond</v>
          </cell>
          <cell r="F12">
            <v>5478.75</v>
          </cell>
        </row>
        <row r="13">
          <cell r="D13" t="str">
            <v>Prepayment of Fidelity bond</v>
          </cell>
          <cell r="F13">
            <v>3375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14107.5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14107.5</v>
          </cell>
          <cell r="H147">
            <v>0</v>
          </cell>
        </row>
      </sheetData>
      <sheetData sheetId="5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Guaranty Deposits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11510.65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11510.65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11510.65</v>
          </cell>
          <cell r="H147">
            <v>0</v>
          </cell>
        </row>
      </sheetData>
      <sheetData sheetId="5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Deposits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5000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5000</v>
          </cell>
          <cell r="H147">
            <v>0</v>
          </cell>
        </row>
      </sheetData>
      <sheetData sheetId="5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Assets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F11">
            <v>17952.11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17952.11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17952.11</v>
          </cell>
          <cell r="H147">
            <v>0</v>
          </cell>
        </row>
      </sheetData>
      <sheetData sheetId="5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Accounts Payable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589691.80000000005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589691.80000000005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589691.80000000005</v>
          </cell>
        </row>
      </sheetData>
      <sheetData sheetId="5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to Officers and Employees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Payroll Fund for January 2016</v>
          </cell>
          <cell r="H11">
            <v>489228.39</v>
          </cell>
        </row>
        <row r="12">
          <cell r="D12" t="str">
            <v>Payment of salaries (net)</v>
          </cell>
          <cell r="F12">
            <v>489228.39</v>
          </cell>
        </row>
        <row r="13">
          <cell r="D13" t="str">
            <v>Payroll Fund for February 2016</v>
          </cell>
          <cell r="H13">
            <v>498193.31000000006</v>
          </cell>
        </row>
        <row r="14">
          <cell r="D14" t="str">
            <v>Payment of salaries (net)</v>
          </cell>
          <cell r="F14">
            <v>498193.31</v>
          </cell>
        </row>
        <row r="15">
          <cell r="D15" t="str">
            <v>Payroll Fund for March 2016</v>
          </cell>
          <cell r="H15">
            <v>565437.00000000012</v>
          </cell>
        </row>
        <row r="16">
          <cell r="D16" t="str">
            <v>Payroll Fund (salary diff)</v>
          </cell>
          <cell r="H16">
            <v>151396.64000000001</v>
          </cell>
        </row>
        <row r="17">
          <cell r="D17" t="str">
            <v>Payment of salaries (net)</v>
          </cell>
          <cell r="F17">
            <v>716833.64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1704255.3399999999</v>
          </cell>
          <cell r="H79">
            <v>1704255.3400000003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1704255.3399999999</v>
          </cell>
          <cell r="H147">
            <v>1704255.3400000003</v>
          </cell>
        </row>
      </sheetData>
      <sheetData sheetId="5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to BIR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263012.27999999997</v>
          </cell>
        </row>
        <row r="12">
          <cell r="D12" t="str">
            <v>Remittance of Dec 2015 taxes</v>
          </cell>
          <cell r="F12">
            <v>256310.45</v>
          </cell>
        </row>
        <row r="13">
          <cell r="D13" t="str">
            <v>Taxes withheld on compensation</v>
          </cell>
          <cell r="H13">
            <v>167185.19000000003</v>
          </cell>
        </row>
        <row r="14">
          <cell r="D14" t="str">
            <v>Taxes withheld from good and services</v>
          </cell>
          <cell r="H14">
            <v>7839.7699999999995</v>
          </cell>
        </row>
        <row r="15">
          <cell r="D15" t="str">
            <v>AJE on under deduction of taxes for FY 2015 (remitted not w/held)</v>
          </cell>
          <cell r="H15">
            <v>5040</v>
          </cell>
        </row>
        <row r="16">
          <cell r="D16" t="str">
            <v xml:space="preserve">DST collection </v>
          </cell>
          <cell r="H16">
            <v>150</v>
          </cell>
        </row>
        <row r="17">
          <cell r="D17" t="str">
            <v>Taxes withheld on compensation</v>
          </cell>
          <cell r="H17">
            <v>170805.06</v>
          </cell>
        </row>
        <row r="18">
          <cell r="D18" t="str">
            <v>Remittance of Jan 2016 taxes</v>
          </cell>
          <cell r="F18">
            <v>185392.28999999998</v>
          </cell>
        </row>
        <row r="19">
          <cell r="D19" t="str">
            <v xml:space="preserve">DST collection </v>
          </cell>
          <cell r="H19">
            <v>105</v>
          </cell>
        </row>
        <row r="20">
          <cell r="D20" t="str">
            <v>Deposit of DST collection (jan 2016)</v>
          </cell>
          <cell r="F20">
            <v>150</v>
          </cell>
        </row>
        <row r="21">
          <cell r="D21" t="str">
            <v>Taxes withheld from good and services</v>
          </cell>
          <cell r="H21">
            <v>9868.2799999999988</v>
          </cell>
        </row>
        <row r="22">
          <cell r="D22" t="str">
            <v>Taxes withheld from good and services</v>
          </cell>
          <cell r="H22">
            <v>9383.89</v>
          </cell>
        </row>
        <row r="23">
          <cell r="D23" t="str">
            <v>Taxes withheld from goods( from CA of SDO)</v>
          </cell>
          <cell r="H23">
            <v>2235</v>
          </cell>
        </row>
        <row r="24">
          <cell r="D24" t="str">
            <v>Taxes withheld on compensation</v>
          </cell>
          <cell r="H24">
            <v>170821.06</v>
          </cell>
        </row>
        <row r="25">
          <cell r="D25" t="str">
            <v>Remittance of Feb 2016 taxes</v>
          </cell>
          <cell r="F25">
            <v>192292.23</v>
          </cell>
        </row>
        <row r="26">
          <cell r="D26" t="str">
            <v>Taxes withheld from good and services</v>
          </cell>
          <cell r="H26">
            <v>16145.369999999997</v>
          </cell>
        </row>
        <row r="27">
          <cell r="D27" t="str">
            <v>Taxes withheld from good and services</v>
          </cell>
          <cell r="H27">
            <v>10263.68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634144.97</v>
          </cell>
          <cell r="H79">
            <v>832854.58000000007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634144.97</v>
          </cell>
          <cell r="H147">
            <v>832854.58000000007</v>
          </cell>
        </row>
      </sheetData>
      <sheetData sheetId="6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Due to GSIS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Personal Share for January 2016</v>
          </cell>
          <cell r="H11">
            <v>220710.39999999999</v>
          </cell>
        </row>
        <row r="12">
          <cell r="D12" t="str">
            <v>Gov't Share for Jan 2016</v>
          </cell>
          <cell r="H12">
            <v>126383.04000000001</v>
          </cell>
        </row>
        <row r="13">
          <cell r="D13" t="str">
            <v>Loan deduction (PERA January)</v>
          </cell>
          <cell r="H13">
            <v>1966.6799999999998</v>
          </cell>
        </row>
        <row r="14">
          <cell r="D14" t="str">
            <v>Total Remittance</v>
          </cell>
          <cell r="F14">
            <v>349060.12</v>
          </cell>
        </row>
        <row r="15">
          <cell r="D15" t="str">
            <v>Gov't Share for Feb 2016</v>
          </cell>
          <cell r="H15">
            <v>128507.44</v>
          </cell>
        </row>
        <row r="16">
          <cell r="D16" t="str">
            <v>Personal Share for February 2016</v>
          </cell>
          <cell r="H16">
            <v>223851.06999999998</v>
          </cell>
        </row>
        <row r="17">
          <cell r="D17" t="str">
            <v>Total Remittance</v>
          </cell>
          <cell r="F17">
            <v>354325.19</v>
          </cell>
        </row>
        <row r="18">
          <cell r="D18" t="str">
            <v>Loan deduction (PERA Feb)</v>
          </cell>
          <cell r="H18">
            <v>1966.6799999999998</v>
          </cell>
        </row>
        <row r="19">
          <cell r="D19" t="str">
            <v>Government share</v>
          </cell>
          <cell r="H19">
            <v>138545.68</v>
          </cell>
        </row>
        <row r="20">
          <cell r="D20" t="str">
            <v>Personal share march 2016</v>
          </cell>
          <cell r="H20">
            <v>235379.74999999997</v>
          </cell>
        </row>
        <row r="21">
          <cell r="D21" t="str">
            <v>Government share (salary diff)</v>
          </cell>
          <cell r="H21">
            <v>20076.48</v>
          </cell>
        </row>
        <row r="22">
          <cell r="D22" t="str">
            <v>Personal share (salary diff)</v>
          </cell>
          <cell r="H22">
            <v>15057.36</v>
          </cell>
        </row>
        <row r="23">
          <cell r="D23" t="str">
            <v>Total Remittance</v>
          </cell>
          <cell r="F23">
            <v>411025.94999999995</v>
          </cell>
        </row>
        <row r="24">
          <cell r="D24" t="str">
            <v>Loan deduction (PERA Mar)</v>
          </cell>
          <cell r="H24">
            <v>1966.6799999999998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1114411.26</v>
          </cell>
          <cell r="H79">
            <v>1114411.26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1114411.26</v>
          </cell>
          <cell r="H147">
            <v>1114411.26</v>
          </cell>
        </row>
      </sheetData>
      <sheetData sheetId="6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Due to Pag-IBIG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2921</v>
          </cell>
        </row>
        <row r="12">
          <cell r="D12" t="str">
            <v>Gov't Share for Jan 2016</v>
          </cell>
          <cell r="H12">
            <v>3600</v>
          </cell>
        </row>
        <row r="13">
          <cell r="D13" t="str">
            <v>Personal share for Jan 2016</v>
          </cell>
          <cell r="H13">
            <v>44001.789999999994</v>
          </cell>
        </row>
        <row r="14">
          <cell r="D14" t="str">
            <v>Total Remittances</v>
          </cell>
          <cell r="F14">
            <v>50522.79</v>
          </cell>
        </row>
        <row r="15">
          <cell r="D15" t="str">
            <v>Gov't Share for feb 2016</v>
          </cell>
          <cell r="H15">
            <v>3700</v>
          </cell>
        </row>
        <row r="16">
          <cell r="D16" t="str">
            <v>Personal share for feb 2016</v>
          </cell>
          <cell r="H16">
            <v>44201.79</v>
          </cell>
        </row>
        <row r="17">
          <cell r="D17" t="str">
            <v>Total Remittances</v>
          </cell>
          <cell r="F17">
            <v>50622.79</v>
          </cell>
        </row>
        <row r="18">
          <cell r="D18" t="str">
            <v>Contributions of JO personnel</v>
          </cell>
          <cell r="H18">
            <v>4521</v>
          </cell>
        </row>
        <row r="19">
          <cell r="D19" t="str">
            <v>Gov't share for march 2016</v>
          </cell>
          <cell r="H19">
            <v>3700</v>
          </cell>
        </row>
        <row r="20">
          <cell r="D20" t="str">
            <v>Personal share for March 2016</v>
          </cell>
          <cell r="H20">
            <v>44734.27</v>
          </cell>
        </row>
        <row r="21">
          <cell r="D21" t="str">
            <v>Total Remittances</v>
          </cell>
          <cell r="F21">
            <v>53886.270000000004</v>
          </cell>
        </row>
        <row r="22">
          <cell r="D22" t="str">
            <v>Contributions of JO personnel</v>
          </cell>
          <cell r="H22">
            <v>2721</v>
          </cell>
        </row>
        <row r="23">
          <cell r="D23" t="str">
            <v>AJE on overremittance</v>
          </cell>
          <cell r="H23">
            <v>931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155031.85</v>
          </cell>
          <cell r="H79">
            <v>155031.84999999998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155031.85</v>
          </cell>
          <cell r="H147">
            <v>155031.84999999998</v>
          </cell>
        </row>
      </sheetData>
      <sheetData sheetId="6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to PhilHealth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Gov't Share</v>
          </cell>
          <cell r="H11">
            <v>11500</v>
          </cell>
        </row>
        <row r="12">
          <cell r="D12" t="str">
            <v>Personal Share</v>
          </cell>
          <cell r="H12">
            <v>11500</v>
          </cell>
        </row>
        <row r="13">
          <cell r="D13" t="str">
            <v>Total Remittances</v>
          </cell>
          <cell r="F13">
            <v>23000</v>
          </cell>
        </row>
        <row r="14">
          <cell r="D14" t="str">
            <v>Gov't Share</v>
          </cell>
          <cell r="H14">
            <v>11700</v>
          </cell>
        </row>
        <row r="15">
          <cell r="D15" t="str">
            <v>Personal Share</v>
          </cell>
          <cell r="H15">
            <v>11700</v>
          </cell>
        </row>
        <row r="16">
          <cell r="D16" t="str">
            <v>Total Remittances</v>
          </cell>
          <cell r="F16">
            <v>23400</v>
          </cell>
        </row>
        <row r="17">
          <cell r="D17" t="str">
            <v>Gov't Share</v>
          </cell>
          <cell r="H17">
            <v>12125</v>
          </cell>
        </row>
        <row r="18">
          <cell r="D18" t="str">
            <v>Personal Share</v>
          </cell>
          <cell r="H18">
            <v>12125</v>
          </cell>
        </row>
        <row r="19">
          <cell r="D19" t="str">
            <v>Gov't Share (salary diff)</v>
          </cell>
          <cell r="H19">
            <v>850</v>
          </cell>
        </row>
        <row r="20">
          <cell r="D20" t="str">
            <v>Personal Share (salary diff)</v>
          </cell>
          <cell r="H20">
            <v>850</v>
          </cell>
        </row>
        <row r="21">
          <cell r="D21" t="str">
            <v>Total Remittances</v>
          </cell>
          <cell r="F21">
            <v>24250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70650</v>
          </cell>
          <cell r="H79">
            <v>72350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70650</v>
          </cell>
          <cell r="H147">
            <v>72350</v>
          </cell>
        </row>
      </sheetData>
      <sheetData sheetId="6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to Other NGAs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6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Due to GOCCs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6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Trust Liabilities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6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Guaranty/Security Deposits Payable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65771.63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65771.63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65771.63</v>
          </cell>
        </row>
      </sheetData>
      <sheetData sheetId="6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Payables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275</v>
          </cell>
        </row>
        <row r="12">
          <cell r="D12" t="str">
            <v>Total deductions</v>
          </cell>
          <cell r="H12">
            <v>90566.23</v>
          </cell>
        </row>
        <row r="13">
          <cell r="D13" t="str">
            <v>Total Remittances</v>
          </cell>
          <cell r="F13">
            <v>41186.910000000003</v>
          </cell>
        </row>
        <row r="14">
          <cell r="D14" t="str">
            <v>Total deductions</v>
          </cell>
          <cell r="H14">
            <v>3872.98</v>
          </cell>
        </row>
        <row r="15">
          <cell r="D15" t="str">
            <v>Total deductions</v>
          </cell>
          <cell r="H15">
            <v>91310.77</v>
          </cell>
        </row>
        <row r="16">
          <cell r="D16" t="str">
            <v>Total Remittances</v>
          </cell>
          <cell r="F16">
            <v>98708.75</v>
          </cell>
        </row>
        <row r="17">
          <cell r="D17" t="str">
            <v>Total deductions</v>
          </cell>
          <cell r="H17">
            <v>4772.9799999999996</v>
          </cell>
        </row>
        <row r="18">
          <cell r="D18" t="str">
            <v>Total Remittances</v>
          </cell>
          <cell r="F18">
            <v>50627.3</v>
          </cell>
        </row>
        <row r="19">
          <cell r="D19" t="str">
            <v>Total deductions</v>
          </cell>
          <cell r="H19">
            <v>95216.92</v>
          </cell>
        </row>
        <row r="20">
          <cell r="D20" t="str">
            <v>Total Remittances</v>
          </cell>
          <cell r="F20">
            <v>48727.600000000006</v>
          </cell>
        </row>
        <row r="21">
          <cell r="D21" t="str">
            <v>Total deductions</v>
          </cell>
          <cell r="H21">
            <v>5672.98</v>
          </cell>
        </row>
        <row r="22">
          <cell r="D22" t="str">
            <v>Total Remittances</v>
          </cell>
          <cell r="F22">
            <v>52162.3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291412.86000000004</v>
          </cell>
          <cell r="H79">
            <v>291687.86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291412.86000000004</v>
          </cell>
          <cell r="H147">
            <v>291687.86</v>
          </cell>
        </row>
      </sheetData>
      <sheetData sheetId="6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Accumulated Surplus/Deficit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Beginning Balance</v>
          </cell>
          <cell r="H11">
            <v>28892448.899999999</v>
          </cell>
        </row>
        <row r="12">
          <cell r="D12" t="str">
            <v>PPA- Dec 2015 taxes</v>
          </cell>
          <cell r="H12">
            <v>256310.45</v>
          </cell>
        </row>
        <row r="13">
          <cell r="D13" t="str">
            <v>PPA- Remittance of PY's taxes</v>
          </cell>
          <cell r="H13">
            <v>10367.329999999958</v>
          </cell>
        </row>
        <row r="14">
          <cell r="D14" t="str">
            <v>PPA- Setting up of PY's disallowance of EO 366 retirees</v>
          </cell>
          <cell r="H14">
            <v>154186.94</v>
          </cell>
        </row>
        <row r="15">
          <cell r="D15" t="str">
            <v>PPA-Setting up of receivable of EO 366 retirees</v>
          </cell>
          <cell r="H15">
            <v>504293.08</v>
          </cell>
        </row>
        <row r="16">
          <cell r="D16" t="str">
            <v>PPA- Deposit of PY's  refund</v>
          </cell>
          <cell r="F16">
            <v>658480.02</v>
          </cell>
        </row>
        <row r="17">
          <cell r="D17" t="str">
            <v>PPA- Receipt of PPE from MGB CO</v>
          </cell>
          <cell r="H17">
            <v>31311.74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658480.02</v>
          </cell>
          <cell r="H79">
            <v>29848918.439999994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658480.02</v>
          </cell>
          <cell r="H147">
            <v>29848918.439999994</v>
          </cell>
        </row>
      </sheetData>
      <sheetData sheetId="6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Permit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Collection</v>
          </cell>
          <cell r="H11">
            <v>126570</v>
          </cell>
        </row>
        <row r="12">
          <cell r="D12" t="str">
            <v>Total Collection</v>
          </cell>
          <cell r="H12">
            <v>108820</v>
          </cell>
        </row>
        <row r="13">
          <cell r="D13" t="str">
            <v>Total Collection</v>
          </cell>
          <cell r="H13">
            <v>134850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370240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370240</v>
          </cell>
        </row>
      </sheetData>
      <sheetData sheetId="7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Supervision and Regulation Enforcement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Collection</v>
          </cell>
          <cell r="H11">
            <v>266040</v>
          </cell>
        </row>
        <row r="12">
          <cell r="D12" t="str">
            <v>Total Collection</v>
          </cell>
          <cell r="H12">
            <v>292550</v>
          </cell>
        </row>
        <row r="13">
          <cell r="D13" t="str">
            <v>Total Collection</v>
          </cell>
          <cell r="H13">
            <v>281600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840190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840190</v>
          </cell>
        </row>
      </sheetData>
      <sheetData sheetId="7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Clearance and Certification Fee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Legal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Inspection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Verification and Authentication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Verification and Authentication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Processing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Analysis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Appeal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7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Application Fees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Assessment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Filing Fees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Review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Processing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4">
        <row r="4">
          <cell r="D4" t="str">
            <v>MINES AND GEOSCIENCES BUREAU 7</v>
          </cell>
          <cell r="H4" t="str">
            <v>Fund Cluster</v>
          </cell>
        </row>
        <row r="6">
          <cell r="H6" t="str">
            <v>UACS Code</v>
          </cell>
        </row>
        <row r="7">
          <cell r="D7" t="str">
            <v>Miscellaneous Income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Collection</v>
          </cell>
          <cell r="H11">
            <v>2000</v>
          </cell>
        </row>
        <row r="12">
          <cell r="D12" t="str">
            <v>Total Collection</v>
          </cell>
          <cell r="H12">
            <v>126</v>
          </cell>
        </row>
        <row r="13">
          <cell r="D13" t="str">
            <v>Total Collection</v>
          </cell>
          <cell r="H13">
            <v>3000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5126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5126</v>
          </cell>
        </row>
      </sheetData>
      <sheetData sheetId="8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Service Income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collection</v>
          </cell>
          <cell r="H11">
            <v>8705</v>
          </cell>
        </row>
        <row r="12">
          <cell r="D12" t="str">
            <v>Total collection</v>
          </cell>
          <cell r="H12">
            <v>27930</v>
          </cell>
        </row>
        <row r="13">
          <cell r="D13" t="str">
            <v>Total collection</v>
          </cell>
          <cell r="H13">
            <v>19310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55945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55945</v>
          </cell>
        </row>
      </sheetData>
      <sheetData sheetId="8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Geological and Energy Data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Seminar/Training Fees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Income from Printing and Publication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8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Sales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Interest Income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Business Income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Subsidy Income from National Government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NCA-BMB-E-16-0000447</v>
          </cell>
          <cell r="H11">
            <v>1695000</v>
          </cell>
        </row>
        <row r="12">
          <cell r="D12" t="str">
            <v>NCA-BMB-E-16-0000447</v>
          </cell>
          <cell r="H12">
            <v>2128000</v>
          </cell>
        </row>
        <row r="13">
          <cell r="D13" t="str">
            <v>TRA number- 0130802016424183</v>
          </cell>
          <cell r="H13">
            <v>175024.96000000002</v>
          </cell>
        </row>
        <row r="14">
          <cell r="D14" t="str">
            <v>REFUND</v>
          </cell>
          <cell r="F14">
            <v>7036.14</v>
          </cell>
        </row>
        <row r="15">
          <cell r="D15" t="str">
            <v>NCA-BMB-E-16-0000447</v>
          </cell>
          <cell r="H15">
            <v>2207000</v>
          </cell>
        </row>
        <row r="16">
          <cell r="D16" t="str">
            <v xml:space="preserve">TRA number- 0130802016433969 </v>
          </cell>
          <cell r="H16">
            <v>192292.23</v>
          </cell>
        </row>
        <row r="17">
          <cell r="D17" t="str">
            <v>REFUND</v>
          </cell>
          <cell r="F17">
            <v>22023.010000000002</v>
          </cell>
        </row>
        <row r="18">
          <cell r="D18" t="str">
            <v>Reversion</v>
          </cell>
          <cell r="F18">
            <v>1172.339999999851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30231.489999999852</v>
          </cell>
          <cell r="H79">
            <v>6397317.1900000004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30231.489999999852</v>
          </cell>
          <cell r="H147">
            <v>6397317.1900000004</v>
          </cell>
        </row>
      </sheetData>
      <sheetData sheetId="9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Subsidy Income from Other National Government Agencies-MGB Central Office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Subsidy from Other Funds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9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Salaries and Wages - Regular Pay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Payroll Fund</v>
          </cell>
          <cell r="F11">
            <v>1023192</v>
          </cell>
        </row>
        <row r="12">
          <cell r="D12" t="str">
            <v>Payroll Fund</v>
          </cell>
          <cell r="F12">
            <v>1040061.9999999998</v>
          </cell>
        </row>
        <row r="13">
          <cell r="D13" t="str">
            <v>Payroll Fund</v>
          </cell>
          <cell r="F13">
            <v>1123714</v>
          </cell>
        </row>
        <row r="14">
          <cell r="D14" t="str">
            <v>Payroll Fund (salary differential)</v>
          </cell>
          <cell r="F14">
            <v>167304.00000000003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3354272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3354272</v>
          </cell>
          <cell r="H147">
            <v>0</v>
          </cell>
        </row>
      </sheetData>
      <sheetData sheetId="9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Personnel Economic Relief Allowance (PERA)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for Jan 2016</v>
          </cell>
          <cell r="F11">
            <v>72000</v>
          </cell>
        </row>
        <row r="12">
          <cell r="D12" t="str">
            <v>Total for feb 2016</v>
          </cell>
          <cell r="F12">
            <v>72000</v>
          </cell>
        </row>
        <row r="13">
          <cell r="D13" t="str">
            <v>Total for March 2106</v>
          </cell>
          <cell r="F13">
            <v>74000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218000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218000</v>
          </cell>
          <cell r="H147">
            <v>0</v>
          </cell>
        </row>
      </sheetData>
      <sheetData sheetId="9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Representation Allowance (RA)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10000</v>
          </cell>
        </row>
        <row r="12">
          <cell r="D12" t="str">
            <v>Total</v>
          </cell>
          <cell r="F12">
            <v>20000</v>
          </cell>
        </row>
        <row r="13">
          <cell r="D13" t="str">
            <v>Total</v>
          </cell>
          <cell r="F13">
            <v>32000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62000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62000</v>
          </cell>
          <cell r="H147">
            <v>0</v>
          </cell>
        </row>
      </sheetData>
      <sheetData sheetId="9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Transportation Allowance(TA)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10000</v>
          </cell>
        </row>
        <row r="12">
          <cell r="D12" t="str">
            <v>Total</v>
          </cell>
          <cell r="F12">
            <v>20000</v>
          </cell>
        </row>
        <row r="13">
          <cell r="D13" t="str">
            <v>Total</v>
          </cell>
          <cell r="F13">
            <v>32000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62000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62000</v>
          </cell>
          <cell r="H147">
            <v>0</v>
          </cell>
        </row>
      </sheetData>
      <sheetData sheetId="9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Clothing/ Uniform Allowance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187000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187000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187000</v>
          </cell>
          <cell r="H147">
            <v>0</v>
          </cell>
        </row>
      </sheetData>
      <sheetData sheetId="10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Subsistence Allowance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Laundry Allowance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Quarters Allowance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Productivity Incentive Allowance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Honoraria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Bonuses &amp; Allowances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Collective Negotiation Agreement Incentive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Longevity Pay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Overtime and Night Pay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0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Year End Bonus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Cash Gift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Life and Retirement Insurance Premiums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122783.04000000001</v>
          </cell>
        </row>
        <row r="12">
          <cell r="D12" t="str">
            <v>Total</v>
          </cell>
          <cell r="F12">
            <v>124807.44</v>
          </cell>
        </row>
        <row r="13">
          <cell r="D13" t="str">
            <v>Total</v>
          </cell>
          <cell r="F13">
            <v>134845.68</v>
          </cell>
        </row>
        <row r="14">
          <cell r="D14" t="str">
            <v>Total (salary diff)</v>
          </cell>
          <cell r="F14">
            <v>20076.48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402512.64000000001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402512.64000000001</v>
          </cell>
          <cell r="H147">
            <v>0</v>
          </cell>
        </row>
      </sheetData>
      <sheetData sheetId="11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Pag-IBIG Contributions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3600</v>
          </cell>
        </row>
        <row r="12">
          <cell r="D12" t="str">
            <v>Total</v>
          </cell>
          <cell r="F12">
            <v>3700</v>
          </cell>
        </row>
        <row r="13">
          <cell r="D13" t="str">
            <v>Total</v>
          </cell>
          <cell r="F13">
            <v>3700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11000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11000</v>
          </cell>
          <cell r="H147">
            <v>0</v>
          </cell>
        </row>
      </sheetData>
      <sheetData sheetId="11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PhilHealth Contributions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11500</v>
          </cell>
        </row>
        <row r="12">
          <cell r="D12" t="str">
            <v>Total</v>
          </cell>
          <cell r="F12">
            <v>11700</v>
          </cell>
        </row>
        <row r="13">
          <cell r="D13" t="str">
            <v>Total</v>
          </cell>
          <cell r="F13">
            <v>12125</v>
          </cell>
        </row>
        <row r="14">
          <cell r="D14" t="str">
            <v>Total (salary diff)</v>
          </cell>
          <cell r="F14">
            <v>850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36175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36175</v>
          </cell>
          <cell r="H147">
            <v>0</v>
          </cell>
        </row>
      </sheetData>
      <sheetData sheetId="11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ECC Contributions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3600</v>
          </cell>
        </row>
        <row r="12">
          <cell r="D12" t="str">
            <v>Total</v>
          </cell>
          <cell r="F12">
            <v>3700</v>
          </cell>
        </row>
        <row r="13">
          <cell r="D13" t="str">
            <v>Total</v>
          </cell>
          <cell r="F13">
            <v>3700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11000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11000</v>
          </cell>
          <cell r="H147">
            <v>0</v>
          </cell>
        </row>
      </sheetData>
      <sheetData sheetId="11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Retirement Gratuity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Terminal Leave Benefits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Personnel Benefits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1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Travelling Expense - Local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28749.5</v>
          </cell>
        </row>
        <row r="12">
          <cell r="D12" t="str">
            <v>Total</v>
          </cell>
          <cell r="F12">
            <v>76238.579999999987</v>
          </cell>
        </row>
        <row r="13">
          <cell r="D13" t="str">
            <v>Liquidation of CA</v>
          </cell>
          <cell r="F13">
            <v>30502</v>
          </cell>
        </row>
        <row r="14">
          <cell r="D14" t="str">
            <v>Total</v>
          </cell>
          <cell r="F14">
            <v>35241</v>
          </cell>
        </row>
        <row r="15">
          <cell r="D15" t="str">
            <v>Total</v>
          </cell>
          <cell r="F15">
            <v>172908.96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343640.04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343640.04</v>
          </cell>
          <cell r="H147">
            <v>0</v>
          </cell>
        </row>
      </sheetData>
      <sheetData sheetId="11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Travelling Expense - Foreign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2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Training 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2400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2400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2400</v>
          </cell>
          <cell r="H147">
            <v>0</v>
          </cell>
        </row>
      </sheetData>
      <sheetData sheetId="12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Scholarship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3000</v>
          </cell>
        </row>
        <row r="12">
          <cell r="D12" t="str">
            <v>Total</v>
          </cell>
          <cell r="F12">
            <v>3000</v>
          </cell>
        </row>
        <row r="13">
          <cell r="D13" t="str">
            <v>Total</v>
          </cell>
          <cell r="F13">
            <v>3800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9800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9800</v>
          </cell>
          <cell r="H147">
            <v>0</v>
          </cell>
        </row>
      </sheetData>
      <sheetData sheetId="12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Office Supplies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Supplies used</v>
          </cell>
          <cell r="F11">
            <v>78528.42</v>
          </cell>
        </row>
        <row r="12">
          <cell r="D12" t="str">
            <v>Total</v>
          </cell>
          <cell r="F12">
            <v>10940</v>
          </cell>
        </row>
        <row r="13">
          <cell r="D13" t="str">
            <v>Liquidation of CA</v>
          </cell>
          <cell r="F13">
            <v>1000</v>
          </cell>
        </row>
        <row r="14">
          <cell r="D14" t="str">
            <v>Supplies used</v>
          </cell>
          <cell r="F14">
            <v>36090.01</v>
          </cell>
        </row>
        <row r="15">
          <cell r="D15" t="str">
            <v>Total</v>
          </cell>
          <cell r="F15">
            <v>1092.75</v>
          </cell>
        </row>
        <row r="16">
          <cell r="D16" t="str">
            <v>Total</v>
          </cell>
          <cell r="F16">
            <v>34782.89</v>
          </cell>
        </row>
        <row r="17">
          <cell r="D17" t="str">
            <v>Reclassification entry</v>
          </cell>
          <cell r="H17">
            <v>10000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162434.07</v>
          </cell>
          <cell r="H79">
            <v>10000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162434.07</v>
          </cell>
          <cell r="H147">
            <v>10000</v>
          </cell>
        </row>
      </sheetData>
      <sheetData sheetId="12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Accountable Forms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Forms used</v>
          </cell>
          <cell r="F11">
            <v>12758</v>
          </cell>
        </row>
        <row r="12">
          <cell r="D12" t="str">
            <v>Forms used</v>
          </cell>
          <cell r="F12">
            <v>15578</v>
          </cell>
        </row>
        <row r="13">
          <cell r="D13" t="str">
            <v>Forms used</v>
          </cell>
          <cell r="F13">
            <v>16266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44602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44602</v>
          </cell>
          <cell r="H147">
            <v>0</v>
          </cell>
        </row>
      </sheetData>
      <sheetData sheetId="12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Medical, Dental &amp; Laboratory Supplies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2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Fuel, Oil and Lubricants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20000</v>
          </cell>
        </row>
        <row r="12">
          <cell r="D12" t="str">
            <v>Liquidation of CA</v>
          </cell>
          <cell r="F12">
            <v>2010.86</v>
          </cell>
        </row>
        <row r="13">
          <cell r="D13" t="str">
            <v>Reclassification entry</v>
          </cell>
          <cell r="H13">
            <v>20000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22010.86</v>
          </cell>
          <cell r="H79">
            <v>20000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22010.86</v>
          </cell>
          <cell r="H147">
            <v>20000</v>
          </cell>
        </row>
      </sheetData>
      <sheetData sheetId="12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Supplies &amp; Materials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1500</v>
          </cell>
        </row>
        <row r="12">
          <cell r="D12" t="str">
            <v>Supplies used</v>
          </cell>
          <cell r="F12">
            <v>1438</v>
          </cell>
        </row>
        <row r="13">
          <cell r="D13" t="str">
            <v>Supplies used</v>
          </cell>
          <cell r="F13">
            <v>898.75</v>
          </cell>
        </row>
        <row r="14">
          <cell r="D14" t="str">
            <v>Reclassification entry</v>
          </cell>
          <cell r="H14">
            <v>1500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3836.75</v>
          </cell>
          <cell r="H79">
            <v>1500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3836.75</v>
          </cell>
          <cell r="H147">
            <v>1500</v>
          </cell>
        </row>
      </sheetData>
      <sheetData sheetId="12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Water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 (reimbursement)</v>
          </cell>
          <cell r="F11">
            <v>720</v>
          </cell>
        </row>
        <row r="12">
          <cell r="D12" t="str">
            <v>Total</v>
          </cell>
          <cell r="F12">
            <v>10700.03</v>
          </cell>
        </row>
        <row r="13">
          <cell r="D13" t="str">
            <v>Total</v>
          </cell>
          <cell r="F13">
            <v>3000</v>
          </cell>
        </row>
        <row r="14">
          <cell r="D14" t="str">
            <v>Total</v>
          </cell>
          <cell r="F14">
            <v>14302.21</v>
          </cell>
        </row>
        <row r="15">
          <cell r="D15" t="str">
            <v>Total</v>
          </cell>
          <cell r="F15">
            <v>3165</v>
          </cell>
        </row>
        <row r="16">
          <cell r="D16" t="str">
            <v>Reclassification entry</v>
          </cell>
          <cell r="H16">
            <v>3000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31887.239999999998</v>
          </cell>
          <cell r="H79">
            <v>3000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31887.239999999998</v>
          </cell>
          <cell r="H147">
            <v>3000</v>
          </cell>
        </row>
      </sheetData>
      <sheetData sheetId="12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Electricity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249415.44</v>
          </cell>
        </row>
        <row r="12">
          <cell r="D12" t="str">
            <v>Total</v>
          </cell>
          <cell r="F12">
            <v>148230.84999999998</v>
          </cell>
        </row>
        <row r="13">
          <cell r="D13" t="str">
            <v>Total</v>
          </cell>
          <cell r="F13">
            <v>171862.3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569508.59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569508.59</v>
          </cell>
          <cell r="H147">
            <v>0</v>
          </cell>
        </row>
      </sheetData>
      <sheetData sheetId="12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Postage and Courier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10436</v>
          </cell>
        </row>
        <row r="12">
          <cell r="D12" t="str">
            <v>Total</v>
          </cell>
          <cell r="F12">
            <v>2757.6</v>
          </cell>
        </row>
        <row r="13">
          <cell r="D13" t="str">
            <v>Total</v>
          </cell>
          <cell r="F13">
            <v>1000</v>
          </cell>
        </row>
        <row r="14">
          <cell r="D14" t="str">
            <v>Total</v>
          </cell>
          <cell r="F14">
            <v>370</v>
          </cell>
        </row>
        <row r="15">
          <cell r="D15" t="str">
            <v>Reclassification entry</v>
          </cell>
          <cell r="H15">
            <v>1000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14563.6</v>
          </cell>
          <cell r="H79">
            <v>1000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14563.6</v>
          </cell>
          <cell r="H147">
            <v>1000</v>
          </cell>
        </row>
      </sheetData>
      <sheetData sheetId="13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Telephone Expenses - Mobile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 xml:space="preserve">Total </v>
          </cell>
          <cell r="F11">
            <v>2000</v>
          </cell>
        </row>
        <row r="12">
          <cell r="D12" t="str">
            <v xml:space="preserve">Total </v>
          </cell>
          <cell r="F12">
            <v>2000</v>
          </cell>
        </row>
        <row r="13">
          <cell r="D13" t="str">
            <v xml:space="preserve">Total </v>
          </cell>
          <cell r="F13">
            <v>2000</v>
          </cell>
        </row>
        <row r="14">
          <cell r="D14" t="str">
            <v xml:space="preserve">Total </v>
          </cell>
          <cell r="F14">
            <v>2000</v>
          </cell>
        </row>
        <row r="15">
          <cell r="D15" t="str">
            <v>Liquidation of CA</v>
          </cell>
          <cell r="F15">
            <v>600</v>
          </cell>
        </row>
        <row r="16">
          <cell r="D16" t="str">
            <v xml:space="preserve">Total </v>
          </cell>
          <cell r="F16">
            <v>2000</v>
          </cell>
        </row>
        <row r="17">
          <cell r="D17" t="str">
            <v xml:space="preserve">Total </v>
          </cell>
          <cell r="F17">
            <v>9000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19600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19600</v>
          </cell>
          <cell r="H147">
            <v>0</v>
          </cell>
        </row>
      </sheetData>
      <sheetData sheetId="13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Telephone Expenses - LandLine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5637.41</v>
          </cell>
        </row>
        <row r="12">
          <cell r="D12" t="str">
            <v>Total</v>
          </cell>
          <cell r="F12">
            <v>10288.66</v>
          </cell>
        </row>
        <row r="13">
          <cell r="D13" t="str">
            <v>Total</v>
          </cell>
          <cell r="F13">
            <v>20049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35975.07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35975.07</v>
          </cell>
          <cell r="H147">
            <v>0</v>
          </cell>
        </row>
      </sheetData>
      <sheetData sheetId="13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Internet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9520</v>
          </cell>
        </row>
        <row r="12">
          <cell r="D12" t="str">
            <v>Total</v>
          </cell>
          <cell r="F12">
            <v>10080</v>
          </cell>
        </row>
        <row r="13">
          <cell r="D13" t="str">
            <v>Total</v>
          </cell>
          <cell r="F13">
            <v>9520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29120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29120</v>
          </cell>
          <cell r="H147">
            <v>0</v>
          </cell>
        </row>
      </sheetData>
      <sheetData sheetId="13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Cable,Satellite,Telegraph, and Radio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1254.19</v>
          </cell>
        </row>
        <row r="12">
          <cell r="D12" t="str">
            <v>Total</v>
          </cell>
          <cell r="F12">
            <v>1675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2929.19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2929.19</v>
          </cell>
          <cell r="H147">
            <v>0</v>
          </cell>
        </row>
      </sheetData>
      <sheetData sheetId="13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Survey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3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Extraordinary and Miscellaneous Expenses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8200</v>
          </cell>
        </row>
        <row r="12">
          <cell r="D12" t="str">
            <v>Total</v>
          </cell>
          <cell r="F12">
            <v>41000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49200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49200</v>
          </cell>
          <cell r="H147">
            <v>0</v>
          </cell>
        </row>
      </sheetData>
      <sheetData sheetId="13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Legal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100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100</v>
          </cell>
          <cell r="H147">
            <v>0</v>
          </cell>
        </row>
      </sheetData>
      <sheetData sheetId="13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Auditing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3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Consultancy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3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Professional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157260.6</v>
          </cell>
        </row>
        <row r="12">
          <cell r="D12" t="str">
            <v>Total</v>
          </cell>
          <cell r="F12">
            <v>180107.06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337367.66000000003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337367.66000000003</v>
          </cell>
          <cell r="H147">
            <v>0</v>
          </cell>
        </row>
      </sheetData>
      <sheetData sheetId="14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Janitorial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34797.51</v>
          </cell>
        </row>
        <row r="12">
          <cell r="D12" t="str">
            <v>Total</v>
          </cell>
          <cell r="F12">
            <v>25165.97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59963.48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59963.48</v>
          </cell>
          <cell r="H147">
            <v>0</v>
          </cell>
        </row>
      </sheetData>
      <sheetData sheetId="14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Security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4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Other General Services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4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Office Buildings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1768.65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1768.65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1768.65</v>
          </cell>
          <cell r="H147">
            <v>0</v>
          </cell>
        </row>
      </sheetData>
      <sheetData sheetId="14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Repairs and Maintenance - Machinery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4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Office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780</v>
          </cell>
        </row>
        <row r="12">
          <cell r="D12" t="str">
            <v>Total</v>
          </cell>
          <cell r="F12">
            <v>400</v>
          </cell>
        </row>
        <row r="13">
          <cell r="D13" t="str">
            <v>Total</v>
          </cell>
          <cell r="F13">
            <v>450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1630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1630</v>
          </cell>
          <cell r="H147">
            <v>0</v>
          </cell>
        </row>
      </sheetData>
      <sheetData sheetId="14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ICT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750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750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750</v>
          </cell>
          <cell r="H147">
            <v>0</v>
          </cell>
        </row>
      </sheetData>
      <sheetData sheetId="14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Technical and Scientific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4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Other Machinery &amp;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4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Motor Vehicles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20881</v>
          </cell>
        </row>
        <row r="12">
          <cell r="D12" t="str">
            <v>Total</v>
          </cell>
          <cell r="F12">
            <v>861.75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21742.75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21742.75</v>
          </cell>
          <cell r="H147">
            <v>0</v>
          </cell>
        </row>
      </sheetData>
      <sheetData sheetId="15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Furniture and Fixtures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Leased Assets Improvements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Repairs and Maintenance - Other Property, Plant and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Taxes,Duties and Licenses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Fidelity Bond Premiums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Expired portion</v>
          </cell>
          <cell r="F11">
            <v>2428.61</v>
          </cell>
        </row>
        <row r="12">
          <cell r="D12" t="str">
            <v>Expired portion</v>
          </cell>
          <cell r="F12">
            <v>2700.41</v>
          </cell>
        </row>
        <row r="13">
          <cell r="D13" t="str">
            <v>Expired portion</v>
          </cell>
          <cell r="F13">
            <v>3058.52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8187.5400000000009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8187.5400000000009</v>
          </cell>
          <cell r="H147">
            <v>0</v>
          </cell>
        </row>
      </sheetData>
      <sheetData sheetId="15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Insurance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Expired portion</v>
          </cell>
          <cell r="F11">
            <v>5030.03</v>
          </cell>
        </row>
        <row r="12">
          <cell r="D12" t="str">
            <v>Expired portion</v>
          </cell>
          <cell r="F12">
            <v>5030.03</v>
          </cell>
        </row>
        <row r="13">
          <cell r="D13" t="str">
            <v>Expired portion</v>
          </cell>
          <cell r="F13">
            <v>5030.03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15090.09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15090.09</v>
          </cell>
          <cell r="H147">
            <v>0</v>
          </cell>
        </row>
      </sheetData>
      <sheetData sheetId="15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Advertising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Printing and Publication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5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Representation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29250</v>
          </cell>
        </row>
        <row r="12">
          <cell r="D12" t="str">
            <v>Total</v>
          </cell>
          <cell r="F12">
            <v>4400</v>
          </cell>
        </row>
        <row r="13">
          <cell r="D13" t="str">
            <v>Liquidation of CA</v>
          </cell>
          <cell r="F13">
            <v>44700</v>
          </cell>
        </row>
        <row r="14">
          <cell r="D14" t="str">
            <v xml:space="preserve">Total </v>
          </cell>
          <cell r="F14">
            <v>103808</v>
          </cell>
        </row>
        <row r="15">
          <cell r="D15" t="str">
            <v>Total</v>
          </cell>
          <cell r="F15">
            <v>9849.2999999999993</v>
          </cell>
        </row>
        <row r="16">
          <cell r="D16" t="str">
            <v>Reclassification entry</v>
          </cell>
          <cell r="H16">
            <v>4400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192007.3</v>
          </cell>
          <cell r="H79">
            <v>4400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192007.3</v>
          </cell>
          <cell r="H147">
            <v>4400</v>
          </cell>
        </row>
      </sheetData>
      <sheetData sheetId="15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Transportation and Delivery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4266</v>
          </cell>
        </row>
        <row r="12">
          <cell r="D12" t="str">
            <v>Total</v>
          </cell>
          <cell r="F12">
            <v>100</v>
          </cell>
        </row>
        <row r="13">
          <cell r="D13" t="str">
            <v>Liquidation of CA</v>
          </cell>
          <cell r="F13">
            <v>4074</v>
          </cell>
        </row>
        <row r="14">
          <cell r="D14" t="str">
            <v>Total</v>
          </cell>
          <cell r="F14">
            <v>500</v>
          </cell>
        </row>
        <row r="15">
          <cell r="D15" t="str">
            <v>Reclassification entry</v>
          </cell>
          <cell r="H15">
            <v>100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8940</v>
          </cell>
          <cell r="H79">
            <v>100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8940</v>
          </cell>
          <cell r="H147">
            <v>100</v>
          </cell>
        </row>
      </sheetData>
      <sheetData sheetId="16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Rent/Lease Expense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Membership Dues and Contributions to Organizations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Subscriptions Expenses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1600</v>
          </cell>
        </row>
        <row r="12">
          <cell r="D12" t="str">
            <v>Total</v>
          </cell>
          <cell r="F12">
            <v>1520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3120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3120</v>
          </cell>
          <cell r="H147">
            <v>0</v>
          </cell>
        </row>
      </sheetData>
      <sheetData sheetId="16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 xml:space="preserve">Other Maintenance and Operating Expenses  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Website Maintenance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Land Improvements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Other Land Improvements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196.88</v>
          </cell>
        </row>
        <row r="12">
          <cell r="D12" t="str">
            <v>Total</v>
          </cell>
          <cell r="F12">
            <v>196.87</v>
          </cell>
        </row>
        <row r="13">
          <cell r="D13" t="str">
            <v>Total</v>
          </cell>
          <cell r="F13">
            <v>196.88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590.63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590.63</v>
          </cell>
          <cell r="H147">
            <v>0</v>
          </cell>
        </row>
      </sheetData>
      <sheetData sheetId="16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Office Buildings  &amp; Other Structures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20312.419999999998</v>
          </cell>
        </row>
        <row r="12">
          <cell r="D12" t="str">
            <v>Total</v>
          </cell>
          <cell r="F12">
            <v>20312.41</v>
          </cell>
        </row>
        <row r="13">
          <cell r="D13" t="str">
            <v>Total</v>
          </cell>
          <cell r="F13">
            <v>20312.419999999998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60937.25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60937.25</v>
          </cell>
          <cell r="H147">
            <v>0</v>
          </cell>
        </row>
      </sheetData>
      <sheetData sheetId="16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Machinery and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6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Office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5925.08</v>
          </cell>
        </row>
        <row r="12">
          <cell r="D12" t="str">
            <v>Total</v>
          </cell>
          <cell r="F12">
            <v>5925.07</v>
          </cell>
        </row>
        <row r="13">
          <cell r="D13" t="str">
            <v>Total</v>
          </cell>
          <cell r="F13">
            <v>5925.08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17775.23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17775.23</v>
          </cell>
          <cell r="H147">
            <v>0</v>
          </cell>
        </row>
      </sheetData>
      <sheetData sheetId="17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ICT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24251.439999999999</v>
          </cell>
        </row>
        <row r="12">
          <cell r="D12" t="str">
            <v>Total</v>
          </cell>
          <cell r="F12">
            <v>24251.02</v>
          </cell>
        </row>
        <row r="13">
          <cell r="D13" t="str">
            <v>Total</v>
          </cell>
          <cell r="F13">
            <v>24251.439999999999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72753.899999999994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72753.899999999994</v>
          </cell>
          <cell r="H147">
            <v>0</v>
          </cell>
        </row>
      </sheetData>
      <sheetData sheetId="17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Communication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223.25</v>
          </cell>
        </row>
        <row r="12">
          <cell r="D12" t="str">
            <v>Total</v>
          </cell>
          <cell r="F12">
            <v>223.23</v>
          </cell>
        </row>
        <row r="13">
          <cell r="D13" t="str">
            <v>Total</v>
          </cell>
          <cell r="F13">
            <v>223.24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669.72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669.72</v>
          </cell>
          <cell r="H147">
            <v>0</v>
          </cell>
        </row>
      </sheetData>
      <sheetData sheetId="17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Construction and Heavy Equipt.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73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Disaster Response and Rescue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74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Military and Police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75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Medical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76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Technical and Scientific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94005.84</v>
          </cell>
        </row>
        <row r="12">
          <cell r="D12" t="str">
            <v>Total</v>
          </cell>
          <cell r="F12">
            <v>94005.71</v>
          </cell>
        </row>
        <row r="13">
          <cell r="D13" t="str">
            <v>Total</v>
          </cell>
          <cell r="F13">
            <v>94005.84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282017.39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282017.39</v>
          </cell>
          <cell r="H147">
            <v>0</v>
          </cell>
        </row>
      </sheetData>
      <sheetData sheetId="177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Other  Machineries and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78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Motor Vehicles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7066.07</v>
          </cell>
        </row>
        <row r="12">
          <cell r="D12" t="str">
            <v>Total</v>
          </cell>
          <cell r="F12">
            <v>22066.07</v>
          </cell>
        </row>
        <row r="13">
          <cell r="D13" t="str">
            <v>Total</v>
          </cell>
          <cell r="F13">
            <v>22066.07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51198.21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51198.21</v>
          </cell>
          <cell r="H147">
            <v>0</v>
          </cell>
        </row>
      </sheetData>
      <sheetData sheetId="179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Watercrafts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80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Furniture,Fixtures and Books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9113.01</v>
          </cell>
        </row>
        <row r="12">
          <cell r="D12" t="str">
            <v>Total</v>
          </cell>
          <cell r="F12">
            <v>9112.33</v>
          </cell>
        </row>
        <row r="13">
          <cell r="D13" t="str">
            <v>Total</v>
          </cell>
          <cell r="F13">
            <v>9113.01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27338.35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27338.35</v>
          </cell>
          <cell r="H147">
            <v>0</v>
          </cell>
        </row>
      </sheetData>
      <sheetData sheetId="181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Leased Assets Improvements, Buildings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0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0</v>
          </cell>
          <cell r="H147">
            <v>0</v>
          </cell>
        </row>
      </sheetData>
      <sheetData sheetId="182">
        <row r="4">
          <cell r="D4" t="str">
            <v>MINES AND GEOSCIENCES BUREAU 7</v>
          </cell>
          <cell r="H4" t="str">
            <v>Fund Cluster</v>
          </cell>
        </row>
        <row r="6">
          <cell r="D6" t="str">
            <v>Depreciation - Other Property,Plant and Equipment</v>
          </cell>
          <cell r="H6" t="str">
            <v>UACS Code</v>
          </cell>
        </row>
        <row r="9">
          <cell r="D9" t="str">
            <v>Particulars</v>
          </cell>
          <cell r="F9" t="str">
            <v>Amounts</v>
          </cell>
        </row>
        <row r="10">
          <cell r="F10" t="str">
            <v>Debit</v>
          </cell>
          <cell r="H10" t="str">
            <v>Credit</v>
          </cell>
        </row>
        <row r="11">
          <cell r="D11" t="str">
            <v>Total</v>
          </cell>
          <cell r="F11">
            <v>6789.25</v>
          </cell>
        </row>
        <row r="12">
          <cell r="D12" t="str">
            <v>Total</v>
          </cell>
          <cell r="F12">
            <v>6789.26</v>
          </cell>
        </row>
        <row r="13">
          <cell r="D13" t="str">
            <v>Total</v>
          </cell>
          <cell r="F13">
            <v>6789.35</v>
          </cell>
        </row>
        <row r="77">
          <cell r="D77" t="str">
            <v>Particulars</v>
          </cell>
          <cell r="F77" t="str">
            <v>Amounts</v>
          </cell>
        </row>
        <row r="78">
          <cell r="F78" t="str">
            <v>Debit</v>
          </cell>
          <cell r="H78" t="str">
            <v>Credit</v>
          </cell>
        </row>
        <row r="79">
          <cell r="D79" t="str">
            <v>Balance Brought Forward . . .</v>
          </cell>
          <cell r="F79">
            <v>20367.86</v>
          </cell>
          <cell r="H79">
            <v>0</v>
          </cell>
        </row>
        <row r="145">
          <cell r="D145" t="str">
            <v>Particulars</v>
          </cell>
          <cell r="F145" t="str">
            <v>Amounts</v>
          </cell>
        </row>
        <row r="146">
          <cell r="F146" t="str">
            <v>Debit</v>
          </cell>
          <cell r="H146" t="str">
            <v>Credit</v>
          </cell>
        </row>
        <row r="147">
          <cell r="D147" t="str">
            <v>Balance Brought Forward . . .</v>
          </cell>
          <cell r="F147">
            <v>20367.86</v>
          </cell>
          <cell r="H147">
            <v>0</v>
          </cell>
        </row>
      </sheetData>
      <sheetData sheetId="183">
        <row r="13">
          <cell r="C13">
            <v>403465</v>
          </cell>
          <cell r="D13">
            <v>403315</v>
          </cell>
          <cell r="E13">
            <v>436567.14</v>
          </cell>
          <cell r="F13">
            <v>436612.14</v>
          </cell>
          <cell r="G13">
            <v>1119263.03</v>
          </cell>
          <cell r="H13">
            <v>1119263.03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40000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</row>
        <row r="16">
          <cell r="C16">
            <v>403315</v>
          </cell>
          <cell r="D16">
            <v>0</v>
          </cell>
          <cell r="E16">
            <v>429426</v>
          </cell>
          <cell r="F16">
            <v>0</v>
          </cell>
          <cell r="G16">
            <v>438760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1695000</v>
          </cell>
          <cell r="D19">
            <v>1429020.88</v>
          </cell>
          <cell r="E19">
            <v>2128000</v>
          </cell>
          <cell r="F19">
            <v>2056458.2799999998</v>
          </cell>
          <cell r="G19">
            <v>2207000</v>
          </cell>
          <cell r="H19">
            <v>2544520.84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</row>
        <row r="21">
          <cell r="C21">
            <v>0</v>
          </cell>
          <cell r="D21">
            <v>0</v>
          </cell>
          <cell r="E21">
            <v>367317.19000000006</v>
          </cell>
          <cell r="F21">
            <v>367317.19000000006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154186.94</v>
          </cell>
          <cell r="H23">
            <v>154186.94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</row>
        <row r="24">
          <cell r="C24">
            <v>5040</v>
          </cell>
          <cell r="D24">
            <v>0</v>
          </cell>
          <cell r="E24">
            <v>0</v>
          </cell>
          <cell r="F24">
            <v>0</v>
          </cell>
          <cell r="G24">
            <v>520312.08</v>
          </cell>
          <cell r="H24">
            <v>504293.08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931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</row>
        <row r="26">
          <cell r="C26">
            <v>0</v>
          </cell>
          <cell r="D26">
            <v>78528.42</v>
          </cell>
          <cell r="E26">
            <v>11460</v>
          </cell>
          <cell r="F26">
            <v>36090.01</v>
          </cell>
          <cell r="G26">
            <v>63331.5</v>
          </cell>
          <cell r="H26">
            <v>34782.89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</row>
        <row r="27">
          <cell r="C27">
            <v>0</v>
          </cell>
          <cell r="D27">
            <v>12758</v>
          </cell>
          <cell r="E27">
            <v>0</v>
          </cell>
          <cell r="F27">
            <v>15578</v>
          </cell>
          <cell r="G27">
            <v>0</v>
          </cell>
          <cell r="H27">
            <v>16266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6900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1438</v>
          </cell>
          <cell r="G29">
            <v>0</v>
          </cell>
          <cell r="H29">
            <v>898.75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</row>
        <row r="32">
          <cell r="C32">
            <v>0</v>
          </cell>
          <cell r="D32">
            <v>196.88</v>
          </cell>
          <cell r="E32">
            <v>0</v>
          </cell>
          <cell r="F32">
            <v>196.87</v>
          </cell>
          <cell r="G32">
            <v>0</v>
          </cell>
          <cell r="H32">
            <v>196.88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</row>
        <row r="35">
          <cell r="C35">
            <v>0</v>
          </cell>
          <cell r="D35">
            <v>20312.419999999998</v>
          </cell>
          <cell r="E35">
            <v>0</v>
          </cell>
          <cell r="F35">
            <v>20312.41</v>
          </cell>
          <cell r="G35">
            <v>0</v>
          </cell>
          <cell r="H35">
            <v>20312.419999999998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</row>
        <row r="41">
          <cell r="C41">
            <v>0</v>
          </cell>
          <cell r="D41">
            <v>5925.08</v>
          </cell>
          <cell r="E41">
            <v>0</v>
          </cell>
          <cell r="F41">
            <v>5925.07</v>
          </cell>
          <cell r="G41">
            <v>0</v>
          </cell>
          <cell r="H41">
            <v>5925.08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</row>
        <row r="43">
          <cell r="C43">
            <v>0</v>
          </cell>
          <cell r="D43">
            <v>24251.439999999999</v>
          </cell>
          <cell r="E43">
            <v>0</v>
          </cell>
          <cell r="F43">
            <v>24251.02</v>
          </cell>
          <cell r="G43">
            <v>0</v>
          </cell>
          <cell r="H43">
            <v>24251.439999999999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</row>
        <row r="45">
          <cell r="C45">
            <v>0</v>
          </cell>
          <cell r="D45">
            <v>223.25</v>
          </cell>
          <cell r="E45">
            <v>0</v>
          </cell>
          <cell r="F45">
            <v>223.23</v>
          </cell>
          <cell r="G45">
            <v>0</v>
          </cell>
          <cell r="H45">
            <v>223.24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19750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</row>
        <row r="47">
          <cell r="C47">
            <v>0</v>
          </cell>
          <cell r="D47">
            <v>94005.84</v>
          </cell>
          <cell r="E47">
            <v>0</v>
          </cell>
          <cell r="F47">
            <v>94005.71</v>
          </cell>
          <cell r="G47">
            <v>0</v>
          </cell>
          <cell r="H47">
            <v>97372.319999999992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</row>
        <row r="49">
          <cell r="C49">
            <v>0</v>
          </cell>
          <cell r="D49">
            <v>7066.07</v>
          </cell>
          <cell r="E49">
            <v>0</v>
          </cell>
          <cell r="F49">
            <v>22066.07</v>
          </cell>
          <cell r="G49">
            <v>0</v>
          </cell>
          <cell r="H49">
            <v>22066.07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</row>
        <row r="51">
          <cell r="C51">
            <v>0</v>
          </cell>
          <cell r="D51">
            <v>9113.01</v>
          </cell>
          <cell r="E51">
            <v>0</v>
          </cell>
          <cell r="F51">
            <v>9112.33</v>
          </cell>
          <cell r="G51">
            <v>0</v>
          </cell>
          <cell r="H51">
            <v>9113.01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23790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</row>
        <row r="54">
          <cell r="C54">
            <v>0</v>
          </cell>
          <cell r="D54">
            <v>6789.25</v>
          </cell>
          <cell r="E54">
            <v>0</v>
          </cell>
          <cell r="F54">
            <v>6789.26</v>
          </cell>
          <cell r="G54">
            <v>0</v>
          </cell>
          <cell r="H54">
            <v>15651.130000000001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</row>
        <row r="57">
          <cell r="C57">
            <v>56300</v>
          </cell>
          <cell r="D57">
            <v>0</v>
          </cell>
          <cell r="E57">
            <v>77500</v>
          </cell>
          <cell r="F57">
            <v>56300</v>
          </cell>
          <cell r="G57">
            <v>124428</v>
          </cell>
          <cell r="H57">
            <v>19663.010000000002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</row>
        <row r="58">
          <cell r="C58">
            <v>14940</v>
          </cell>
          <cell r="D58">
            <v>0</v>
          </cell>
          <cell r="E58">
            <v>61710</v>
          </cell>
          <cell r="F58">
            <v>31388</v>
          </cell>
          <cell r="G58">
            <v>124681</v>
          </cell>
          <cell r="H58">
            <v>18379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</row>
        <row r="62">
          <cell r="C62">
            <v>0</v>
          </cell>
          <cell r="D62">
            <v>7458.6399999999994</v>
          </cell>
          <cell r="E62">
            <v>0</v>
          </cell>
          <cell r="F62">
            <v>7730.44</v>
          </cell>
          <cell r="G62">
            <v>0</v>
          </cell>
          <cell r="H62">
            <v>8088.5499999999993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</row>
        <row r="63">
          <cell r="C63">
            <v>5253.75</v>
          </cell>
          <cell r="D63">
            <v>0</v>
          </cell>
          <cell r="E63">
            <v>5478.75</v>
          </cell>
          <cell r="F63">
            <v>0</v>
          </cell>
          <cell r="G63">
            <v>3375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</row>
        <row r="68">
          <cell r="C68">
            <v>489228.39</v>
          </cell>
          <cell r="D68">
            <v>489228.39</v>
          </cell>
          <cell r="E68">
            <v>498193.31</v>
          </cell>
          <cell r="F68">
            <v>498193.31000000006</v>
          </cell>
          <cell r="G68">
            <v>716833.64</v>
          </cell>
          <cell r="H68">
            <v>716833.64000000013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</row>
        <row r="69">
          <cell r="C69">
            <v>256310.45</v>
          </cell>
          <cell r="D69">
            <v>180214.96000000002</v>
          </cell>
          <cell r="E69">
            <v>185542.28999999998</v>
          </cell>
          <cell r="F69">
            <v>192397.22999999998</v>
          </cell>
          <cell r="G69">
            <v>192292.23</v>
          </cell>
          <cell r="H69">
            <v>197230.11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</row>
        <row r="70">
          <cell r="C70">
            <v>349060.12</v>
          </cell>
          <cell r="D70">
            <v>349060.12</v>
          </cell>
          <cell r="E70">
            <v>354325.19</v>
          </cell>
          <cell r="F70">
            <v>354325.19</v>
          </cell>
          <cell r="G70">
            <v>411025.94999999995</v>
          </cell>
          <cell r="H70">
            <v>411025.9499999999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</row>
        <row r="71">
          <cell r="C71">
            <v>50522.79</v>
          </cell>
          <cell r="D71">
            <v>47601.789999999994</v>
          </cell>
          <cell r="E71">
            <v>50622.79</v>
          </cell>
          <cell r="F71">
            <v>52422.79</v>
          </cell>
          <cell r="G71">
            <v>53886.270000000004</v>
          </cell>
          <cell r="H71">
            <v>52086.27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</row>
        <row r="72">
          <cell r="C72">
            <v>23000</v>
          </cell>
          <cell r="D72">
            <v>23000</v>
          </cell>
          <cell r="E72">
            <v>23400</v>
          </cell>
          <cell r="F72">
            <v>23400</v>
          </cell>
          <cell r="G72">
            <v>24250</v>
          </cell>
          <cell r="H72">
            <v>25950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</row>
        <row r="77">
          <cell r="C77">
            <v>41186.910000000003</v>
          </cell>
          <cell r="D77">
            <v>94439.209999999992</v>
          </cell>
          <cell r="E77">
            <v>149336.04999999999</v>
          </cell>
          <cell r="F77">
            <v>96083.75</v>
          </cell>
          <cell r="G77">
            <v>100889.90000000001</v>
          </cell>
          <cell r="H77">
            <v>100889.9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</row>
        <row r="78">
          <cell r="C78">
            <v>0</v>
          </cell>
          <cell r="D78">
            <v>256310.45</v>
          </cell>
          <cell r="E78">
            <v>0</v>
          </cell>
          <cell r="F78">
            <v>10367.329999999958</v>
          </cell>
          <cell r="G78">
            <v>658480.02</v>
          </cell>
          <cell r="H78">
            <v>689791.76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</row>
        <row r="79">
          <cell r="C79">
            <v>0</v>
          </cell>
          <cell r="D79">
            <v>126570</v>
          </cell>
          <cell r="E79">
            <v>0</v>
          </cell>
          <cell r="F79">
            <v>108820</v>
          </cell>
          <cell r="G79">
            <v>0</v>
          </cell>
          <cell r="H79">
            <v>134850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</row>
        <row r="80">
          <cell r="C80">
            <v>0</v>
          </cell>
          <cell r="D80">
            <v>266040</v>
          </cell>
          <cell r="E80">
            <v>0</v>
          </cell>
          <cell r="F80">
            <v>292550</v>
          </cell>
          <cell r="G80">
            <v>0</v>
          </cell>
          <cell r="H80">
            <v>281600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</row>
        <row r="94">
          <cell r="C94">
            <v>0</v>
          </cell>
          <cell r="D94">
            <v>2000</v>
          </cell>
          <cell r="E94">
            <v>0</v>
          </cell>
          <cell r="F94">
            <v>126</v>
          </cell>
          <cell r="G94">
            <v>0</v>
          </cell>
          <cell r="H94">
            <v>3000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</row>
        <row r="95">
          <cell r="C95">
            <v>0</v>
          </cell>
          <cell r="D95">
            <v>8705</v>
          </cell>
          <cell r="E95">
            <v>0</v>
          </cell>
          <cell r="F95">
            <v>27930</v>
          </cell>
          <cell r="G95">
            <v>0</v>
          </cell>
          <cell r="H95">
            <v>19310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</row>
        <row r="102">
          <cell r="C102">
            <v>0</v>
          </cell>
          <cell r="D102">
            <v>1695000</v>
          </cell>
          <cell r="E102">
            <v>7036.14</v>
          </cell>
          <cell r="F102">
            <v>2303024.96</v>
          </cell>
          <cell r="G102">
            <v>23195.349999999853</v>
          </cell>
          <cell r="H102">
            <v>2399292.23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</row>
        <row r="105">
          <cell r="C105">
            <v>1023192</v>
          </cell>
          <cell r="D105">
            <v>0</v>
          </cell>
          <cell r="E105">
            <v>1040061.9999999998</v>
          </cell>
          <cell r="F105">
            <v>0</v>
          </cell>
          <cell r="G105">
            <v>1291018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</row>
        <row r="106">
          <cell r="C106">
            <v>72000</v>
          </cell>
          <cell r="D106">
            <v>0</v>
          </cell>
          <cell r="E106">
            <v>72000</v>
          </cell>
          <cell r="F106">
            <v>0</v>
          </cell>
          <cell r="G106">
            <v>74000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</row>
        <row r="107">
          <cell r="C107">
            <v>10000</v>
          </cell>
          <cell r="D107">
            <v>0</v>
          </cell>
          <cell r="E107">
            <v>20000</v>
          </cell>
          <cell r="F107">
            <v>0</v>
          </cell>
          <cell r="G107">
            <v>32000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</row>
        <row r="108">
          <cell r="C108">
            <v>10000</v>
          </cell>
          <cell r="D108">
            <v>0</v>
          </cell>
          <cell r="E108">
            <v>20000</v>
          </cell>
          <cell r="F108">
            <v>0</v>
          </cell>
          <cell r="G108">
            <v>32000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</row>
        <row r="109">
          <cell r="C109">
            <v>0</v>
          </cell>
          <cell r="D109">
            <v>0</v>
          </cell>
          <cell r="E109">
            <v>187000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</row>
        <row r="121">
          <cell r="C121">
            <v>122783.04000000001</v>
          </cell>
          <cell r="D121">
            <v>0</v>
          </cell>
          <cell r="E121">
            <v>124807.44</v>
          </cell>
          <cell r="F121">
            <v>0</v>
          </cell>
          <cell r="G121">
            <v>154922.16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</row>
        <row r="122">
          <cell r="C122">
            <v>3600</v>
          </cell>
          <cell r="D122">
            <v>0</v>
          </cell>
          <cell r="E122">
            <v>3700</v>
          </cell>
          <cell r="F122">
            <v>0</v>
          </cell>
          <cell r="G122">
            <v>3700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</row>
        <row r="123">
          <cell r="C123">
            <v>11500</v>
          </cell>
          <cell r="D123">
            <v>0</v>
          </cell>
          <cell r="E123">
            <v>11700</v>
          </cell>
          <cell r="F123">
            <v>0</v>
          </cell>
          <cell r="G123">
            <v>12975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</row>
        <row r="124">
          <cell r="C124">
            <v>3600</v>
          </cell>
          <cell r="D124">
            <v>0</v>
          </cell>
          <cell r="E124">
            <v>3700</v>
          </cell>
          <cell r="F124">
            <v>0</v>
          </cell>
          <cell r="G124">
            <v>3700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</row>
        <row r="128">
          <cell r="C128">
            <v>28749.5</v>
          </cell>
          <cell r="D128">
            <v>0</v>
          </cell>
          <cell r="E128">
            <v>106740.57999999999</v>
          </cell>
          <cell r="F128">
            <v>0</v>
          </cell>
          <cell r="G128">
            <v>208149.96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2400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</row>
        <row r="131">
          <cell r="C131">
            <v>3000</v>
          </cell>
          <cell r="D131">
            <v>0</v>
          </cell>
          <cell r="E131">
            <v>3000</v>
          </cell>
          <cell r="F131">
            <v>0</v>
          </cell>
          <cell r="G131">
            <v>3800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</row>
        <row r="132">
          <cell r="C132">
            <v>78528.42</v>
          </cell>
          <cell r="D132">
            <v>0</v>
          </cell>
          <cell r="E132">
            <v>48030.01</v>
          </cell>
          <cell r="F132">
            <v>0</v>
          </cell>
          <cell r="G132">
            <v>35875.64</v>
          </cell>
          <cell r="H132">
            <v>10000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</row>
        <row r="133">
          <cell r="C133">
            <v>12758</v>
          </cell>
          <cell r="D133">
            <v>0</v>
          </cell>
          <cell r="E133">
            <v>15578</v>
          </cell>
          <cell r="F133">
            <v>0</v>
          </cell>
          <cell r="G133">
            <v>16266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</row>
        <row r="135">
          <cell r="C135">
            <v>0</v>
          </cell>
          <cell r="D135">
            <v>0</v>
          </cell>
          <cell r="E135">
            <v>22010.86</v>
          </cell>
          <cell r="F135">
            <v>0</v>
          </cell>
          <cell r="G135">
            <v>0</v>
          </cell>
          <cell r="H135">
            <v>20000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</row>
        <row r="136">
          <cell r="C136">
            <v>0</v>
          </cell>
          <cell r="D136">
            <v>0</v>
          </cell>
          <cell r="E136">
            <v>2938</v>
          </cell>
          <cell r="F136">
            <v>0</v>
          </cell>
          <cell r="G136">
            <v>898.75</v>
          </cell>
          <cell r="H136">
            <v>1500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</row>
        <row r="137">
          <cell r="C137">
            <v>720</v>
          </cell>
          <cell r="D137">
            <v>0</v>
          </cell>
          <cell r="E137">
            <v>13700.03</v>
          </cell>
          <cell r="F137">
            <v>0</v>
          </cell>
          <cell r="G137">
            <v>17467.21</v>
          </cell>
          <cell r="H137">
            <v>3000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</row>
        <row r="138">
          <cell r="C138">
            <v>249415.44</v>
          </cell>
          <cell r="D138">
            <v>0</v>
          </cell>
          <cell r="E138">
            <v>148230.84999999998</v>
          </cell>
          <cell r="F138">
            <v>0</v>
          </cell>
          <cell r="G138">
            <v>171862.3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</row>
        <row r="139">
          <cell r="C139">
            <v>10436</v>
          </cell>
          <cell r="D139">
            <v>0</v>
          </cell>
          <cell r="E139">
            <v>3757.6</v>
          </cell>
          <cell r="F139">
            <v>0</v>
          </cell>
          <cell r="G139">
            <v>370</v>
          </cell>
          <cell r="H139">
            <v>1000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</row>
        <row r="140">
          <cell r="C140">
            <v>4000</v>
          </cell>
          <cell r="D140">
            <v>0</v>
          </cell>
          <cell r="E140">
            <v>4600</v>
          </cell>
          <cell r="F140">
            <v>0</v>
          </cell>
          <cell r="G140">
            <v>11000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</row>
        <row r="141">
          <cell r="C141">
            <v>5637.41</v>
          </cell>
          <cell r="D141">
            <v>0</v>
          </cell>
          <cell r="E141">
            <v>10288.66</v>
          </cell>
          <cell r="F141">
            <v>0</v>
          </cell>
          <cell r="G141">
            <v>20049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</row>
        <row r="142">
          <cell r="C142">
            <v>9520</v>
          </cell>
          <cell r="D142">
            <v>0</v>
          </cell>
          <cell r="E142">
            <v>10080</v>
          </cell>
          <cell r="F142">
            <v>0</v>
          </cell>
          <cell r="G142">
            <v>9520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</row>
        <row r="143">
          <cell r="C143">
            <v>0</v>
          </cell>
          <cell r="D143">
            <v>0</v>
          </cell>
          <cell r="E143">
            <v>1254.19</v>
          </cell>
          <cell r="F143">
            <v>0</v>
          </cell>
          <cell r="G143">
            <v>1675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</row>
        <row r="145">
          <cell r="C145">
            <v>8200</v>
          </cell>
          <cell r="D145">
            <v>0</v>
          </cell>
          <cell r="E145">
            <v>0</v>
          </cell>
          <cell r="F145">
            <v>0</v>
          </cell>
          <cell r="G145">
            <v>41000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100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</row>
        <row r="149">
          <cell r="C149">
            <v>0</v>
          </cell>
          <cell r="D149">
            <v>0</v>
          </cell>
          <cell r="E149">
            <v>157260.6</v>
          </cell>
          <cell r="F149">
            <v>0</v>
          </cell>
          <cell r="G149">
            <v>180107.06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</row>
        <row r="150">
          <cell r="C150">
            <v>0</v>
          </cell>
          <cell r="D150">
            <v>0</v>
          </cell>
          <cell r="E150">
            <v>34797.51</v>
          </cell>
          <cell r="F150">
            <v>0</v>
          </cell>
          <cell r="G150">
            <v>25165.97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1768.65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</row>
        <row r="155">
          <cell r="C155">
            <v>780</v>
          </cell>
          <cell r="D155">
            <v>0</v>
          </cell>
          <cell r="E155">
            <v>400</v>
          </cell>
          <cell r="F155">
            <v>0</v>
          </cell>
          <cell r="G155">
            <v>450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</row>
        <row r="156">
          <cell r="C156">
            <v>750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</row>
        <row r="159">
          <cell r="C159">
            <v>0</v>
          </cell>
          <cell r="D159">
            <v>0</v>
          </cell>
          <cell r="E159">
            <v>20881</v>
          </cell>
          <cell r="F159">
            <v>0</v>
          </cell>
          <cell r="G159">
            <v>861.75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</row>
        <row r="164">
          <cell r="C164">
            <v>2428.61</v>
          </cell>
          <cell r="D164">
            <v>0</v>
          </cell>
          <cell r="E164">
            <v>2700.41</v>
          </cell>
          <cell r="F164">
            <v>0</v>
          </cell>
          <cell r="G164">
            <v>3058.52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</row>
        <row r="165">
          <cell r="C165">
            <v>5030.03</v>
          </cell>
          <cell r="D165">
            <v>0</v>
          </cell>
          <cell r="E165">
            <v>5030.03</v>
          </cell>
          <cell r="F165">
            <v>0</v>
          </cell>
          <cell r="G165">
            <v>5030.03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</row>
        <row r="168">
          <cell r="C168">
            <v>0</v>
          </cell>
          <cell r="D168">
            <v>0</v>
          </cell>
          <cell r="E168">
            <v>78350</v>
          </cell>
          <cell r="F168">
            <v>0</v>
          </cell>
          <cell r="G168">
            <v>113657.3</v>
          </cell>
          <cell r="H168">
            <v>4400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</row>
        <row r="169">
          <cell r="C169">
            <v>0</v>
          </cell>
          <cell r="D169">
            <v>0</v>
          </cell>
          <cell r="E169">
            <v>8440</v>
          </cell>
          <cell r="F169">
            <v>0</v>
          </cell>
          <cell r="G169">
            <v>500</v>
          </cell>
          <cell r="H169">
            <v>100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</row>
        <row r="172">
          <cell r="C172">
            <v>0</v>
          </cell>
          <cell r="D172">
            <v>0</v>
          </cell>
          <cell r="E172">
            <v>1600</v>
          </cell>
          <cell r="F172">
            <v>0</v>
          </cell>
          <cell r="G172">
            <v>1520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</row>
        <row r="176">
          <cell r="C176">
            <v>196.88</v>
          </cell>
          <cell r="D176">
            <v>0</v>
          </cell>
          <cell r="E176">
            <v>196.87</v>
          </cell>
          <cell r="F176">
            <v>0</v>
          </cell>
          <cell r="G176">
            <v>196.88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</row>
        <row r="177">
          <cell r="C177">
            <v>20312.419999999998</v>
          </cell>
          <cell r="D177">
            <v>0</v>
          </cell>
          <cell r="E177">
            <v>20312.41</v>
          </cell>
          <cell r="F177">
            <v>0</v>
          </cell>
          <cell r="G177">
            <v>20312.419999999998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</row>
        <row r="179">
          <cell r="C179">
            <v>5925.08</v>
          </cell>
          <cell r="D179">
            <v>0</v>
          </cell>
          <cell r="E179">
            <v>5925.07</v>
          </cell>
          <cell r="F179">
            <v>0</v>
          </cell>
          <cell r="G179">
            <v>5925.08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</row>
        <row r="180">
          <cell r="C180">
            <v>24251.439999999999</v>
          </cell>
          <cell r="D180">
            <v>0</v>
          </cell>
          <cell r="E180">
            <v>24251.02</v>
          </cell>
          <cell r="F180">
            <v>0</v>
          </cell>
          <cell r="G180">
            <v>24251.439999999999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</row>
        <row r="181">
          <cell r="C181">
            <v>223.25</v>
          </cell>
          <cell r="D181">
            <v>0</v>
          </cell>
          <cell r="E181">
            <v>223.23</v>
          </cell>
          <cell r="F181">
            <v>0</v>
          </cell>
          <cell r="G181">
            <v>223.24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</row>
        <row r="186">
          <cell r="C186">
            <v>94005.84</v>
          </cell>
          <cell r="D186">
            <v>0</v>
          </cell>
          <cell r="E186">
            <v>94005.71</v>
          </cell>
          <cell r="F186">
            <v>0</v>
          </cell>
          <cell r="G186">
            <v>94005.84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</row>
        <row r="188">
          <cell r="C188">
            <v>7066.07</v>
          </cell>
          <cell r="D188">
            <v>0</v>
          </cell>
          <cell r="E188">
            <v>22066.07</v>
          </cell>
          <cell r="F188">
            <v>0</v>
          </cell>
          <cell r="G188">
            <v>22066.07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</row>
        <row r="190">
          <cell r="C190">
            <v>9113.01</v>
          </cell>
          <cell r="D190">
            <v>0</v>
          </cell>
          <cell r="E190">
            <v>9112.33</v>
          </cell>
          <cell r="F190">
            <v>0</v>
          </cell>
          <cell r="G190">
            <v>9113.01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</row>
        <row r="192">
          <cell r="C192">
            <v>6789.25</v>
          </cell>
          <cell r="D192">
            <v>0</v>
          </cell>
          <cell r="E192">
            <v>6789.26</v>
          </cell>
          <cell r="F192">
            <v>0</v>
          </cell>
          <cell r="G192">
            <v>6789.35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</row>
      </sheetData>
      <sheetData sheetId="184">
        <row r="9">
          <cell r="E9">
            <v>42400</v>
          </cell>
          <cell r="G9">
            <v>42429</v>
          </cell>
          <cell r="I9">
            <v>42460</v>
          </cell>
          <cell r="K9">
            <v>42490</v>
          </cell>
          <cell r="M9">
            <v>42521</v>
          </cell>
          <cell r="O9">
            <v>42551</v>
          </cell>
          <cell r="Q9">
            <v>42582</v>
          </cell>
          <cell r="S9">
            <v>42613</v>
          </cell>
          <cell r="U9">
            <v>42643</v>
          </cell>
          <cell r="W9">
            <v>42674</v>
          </cell>
          <cell r="Y9">
            <v>42704</v>
          </cell>
          <cell r="AA9">
            <v>42735</v>
          </cell>
        </row>
        <row r="10">
          <cell r="B10" t="str">
            <v>Account Codes</v>
          </cell>
          <cell r="E10" t="str">
            <v>DEBIT</v>
          </cell>
          <cell r="F10" t="str">
            <v>CREDIT</v>
          </cell>
          <cell r="G10" t="str">
            <v>DEBIT</v>
          </cell>
          <cell r="H10" t="str">
            <v>CREDIT</v>
          </cell>
          <cell r="I10" t="str">
            <v>DEBIT</v>
          </cell>
          <cell r="J10" t="str">
            <v>CREDIT</v>
          </cell>
          <cell r="K10" t="str">
            <v>DEBIT</v>
          </cell>
          <cell r="L10" t="str">
            <v>CREDIT</v>
          </cell>
          <cell r="M10" t="str">
            <v>DEBIT</v>
          </cell>
          <cell r="N10" t="str">
            <v>CREDIT</v>
          </cell>
          <cell r="O10" t="str">
            <v>DEBIT</v>
          </cell>
          <cell r="P10" t="str">
            <v>CREDIT</v>
          </cell>
          <cell r="Q10" t="str">
            <v>DEBIT</v>
          </cell>
          <cell r="R10" t="str">
            <v>CREDIT</v>
          </cell>
          <cell r="S10" t="str">
            <v>DEBIT</v>
          </cell>
          <cell r="T10" t="str">
            <v>CREDIT</v>
          </cell>
          <cell r="U10" t="str">
            <v>DEBIT</v>
          </cell>
          <cell r="V10" t="str">
            <v>CREDIT</v>
          </cell>
          <cell r="W10" t="str">
            <v>DEBIT</v>
          </cell>
          <cell r="X10" t="str">
            <v>CREDIT</v>
          </cell>
          <cell r="Y10" t="str">
            <v>DEBIT</v>
          </cell>
          <cell r="Z10" t="str">
            <v>CREDIT</v>
          </cell>
          <cell r="AA10" t="str">
            <v>DEBIT</v>
          </cell>
          <cell r="AB10" t="str">
            <v>CREDIT</v>
          </cell>
        </row>
        <row r="13">
          <cell r="B13" t="str">
            <v>10101010 00</v>
          </cell>
          <cell r="C13">
            <v>0</v>
          </cell>
          <cell r="D13">
            <v>0</v>
          </cell>
          <cell r="E13">
            <v>150</v>
          </cell>
          <cell r="F13">
            <v>0</v>
          </cell>
          <cell r="G13">
            <v>105</v>
          </cell>
          <cell r="H13">
            <v>0</v>
          </cell>
          <cell r="I13">
            <v>105</v>
          </cell>
          <cell r="J13">
            <v>0</v>
          </cell>
          <cell r="K13">
            <v>105</v>
          </cell>
          <cell r="L13">
            <v>0</v>
          </cell>
          <cell r="M13">
            <v>105</v>
          </cell>
          <cell r="N13">
            <v>0</v>
          </cell>
          <cell r="O13">
            <v>105</v>
          </cell>
          <cell r="P13">
            <v>0</v>
          </cell>
          <cell r="Q13">
            <v>105</v>
          </cell>
          <cell r="R13">
            <v>0</v>
          </cell>
          <cell r="S13">
            <v>105</v>
          </cell>
          <cell r="T13">
            <v>0</v>
          </cell>
          <cell r="U13">
            <v>105</v>
          </cell>
          <cell r="V13">
            <v>0</v>
          </cell>
          <cell r="W13">
            <v>105</v>
          </cell>
          <cell r="X13">
            <v>0</v>
          </cell>
          <cell r="Y13">
            <v>105</v>
          </cell>
          <cell r="Z13">
            <v>0</v>
          </cell>
          <cell r="AA13">
            <v>105</v>
          </cell>
          <cell r="AB13">
            <v>0</v>
          </cell>
        </row>
        <row r="14">
          <cell r="B14" t="str">
            <v>10101020 00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40000</v>
          </cell>
          <cell r="J14">
            <v>0</v>
          </cell>
          <cell r="K14">
            <v>40000</v>
          </cell>
          <cell r="L14">
            <v>0</v>
          </cell>
          <cell r="M14">
            <v>40000</v>
          </cell>
          <cell r="N14">
            <v>0</v>
          </cell>
          <cell r="O14">
            <v>40000</v>
          </cell>
          <cell r="P14">
            <v>0</v>
          </cell>
          <cell r="Q14">
            <v>40000</v>
          </cell>
          <cell r="R14">
            <v>0</v>
          </cell>
          <cell r="S14">
            <v>40000</v>
          </cell>
          <cell r="T14">
            <v>0</v>
          </cell>
          <cell r="U14">
            <v>40000</v>
          </cell>
          <cell r="V14">
            <v>0</v>
          </cell>
          <cell r="W14">
            <v>40000</v>
          </cell>
          <cell r="X14">
            <v>0</v>
          </cell>
          <cell r="Y14">
            <v>40000</v>
          </cell>
          <cell r="Z14">
            <v>0</v>
          </cell>
          <cell r="AA14">
            <v>40000</v>
          </cell>
          <cell r="AB14">
            <v>0</v>
          </cell>
        </row>
        <row r="15">
          <cell r="B15" t="str">
            <v>10102020 00</v>
          </cell>
          <cell r="C15">
            <v>662458.87</v>
          </cell>
          <cell r="D15">
            <v>0</v>
          </cell>
          <cell r="E15">
            <v>662458.87</v>
          </cell>
          <cell r="F15">
            <v>0</v>
          </cell>
          <cell r="G15">
            <v>662458.87</v>
          </cell>
          <cell r="H15">
            <v>0</v>
          </cell>
          <cell r="I15">
            <v>662458.87</v>
          </cell>
          <cell r="J15">
            <v>0</v>
          </cell>
          <cell r="K15">
            <v>662458.87</v>
          </cell>
          <cell r="L15">
            <v>0</v>
          </cell>
          <cell r="M15">
            <v>662458.87</v>
          </cell>
          <cell r="N15">
            <v>0</v>
          </cell>
          <cell r="O15">
            <v>662458.87</v>
          </cell>
          <cell r="P15">
            <v>0</v>
          </cell>
          <cell r="Q15">
            <v>662458.87</v>
          </cell>
          <cell r="R15">
            <v>0</v>
          </cell>
          <cell r="S15">
            <v>662458.87</v>
          </cell>
          <cell r="T15">
            <v>0</v>
          </cell>
          <cell r="U15">
            <v>662458.87</v>
          </cell>
          <cell r="V15">
            <v>0</v>
          </cell>
          <cell r="W15">
            <v>662458.87</v>
          </cell>
          <cell r="X15">
            <v>0</v>
          </cell>
          <cell r="Y15">
            <v>662458.87</v>
          </cell>
          <cell r="Z15">
            <v>0</v>
          </cell>
          <cell r="AA15">
            <v>662458.87</v>
          </cell>
          <cell r="AB15">
            <v>0</v>
          </cell>
        </row>
        <row r="16">
          <cell r="B16" t="str">
            <v>10104010 00</v>
          </cell>
          <cell r="C16">
            <v>0</v>
          </cell>
          <cell r="D16">
            <v>0</v>
          </cell>
          <cell r="E16">
            <v>403315</v>
          </cell>
          <cell r="F16">
            <v>0</v>
          </cell>
          <cell r="G16">
            <v>832741</v>
          </cell>
          <cell r="H16">
            <v>0</v>
          </cell>
          <cell r="I16">
            <v>1271501</v>
          </cell>
          <cell r="J16">
            <v>0</v>
          </cell>
          <cell r="K16">
            <v>1271501</v>
          </cell>
          <cell r="L16">
            <v>0</v>
          </cell>
          <cell r="M16">
            <v>1271501</v>
          </cell>
          <cell r="N16">
            <v>0</v>
          </cell>
          <cell r="O16">
            <v>1271501</v>
          </cell>
          <cell r="P16">
            <v>0</v>
          </cell>
          <cell r="Q16">
            <v>1271501</v>
          </cell>
          <cell r="R16">
            <v>0</v>
          </cell>
          <cell r="S16">
            <v>1271501</v>
          </cell>
          <cell r="T16">
            <v>0</v>
          </cell>
          <cell r="U16">
            <v>1271501</v>
          </cell>
          <cell r="V16">
            <v>0</v>
          </cell>
          <cell r="W16">
            <v>1271501</v>
          </cell>
          <cell r="X16">
            <v>0</v>
          </cell>
          <cell r="Y16">
            <v>1271501</v>
          </cell>
          <cell r="Z16">
            <v>0</v>
          </cell>
          <cell r="AA16">
            <v>1271501</v>
          </cell>
          <cell r="AB16">
            <v>0</v>
          </cell>
        </row>
        <row r="17">
          <cell r="B17" t="str">
            <v>10104020 00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B18" t="str">
            <v>10104030 00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B19" t="str">
            <v>10104040 00</v>
          </cell>
          <cell r="C19">
            <v>0</v>
          </cell>
          <cell r="D19">
            <v>0</v>
          </cell>
          <cell r="E19">
            <v>265979.12000000011</v>
          </cell>
          <cell r="F19">
            <v>0</v>
          </cell>
          <cell r="G19">
            <v>337520.84000000032</v>
          </cell>
          <cell r="H19">
            <v>0</v>
          </cell>
          <cell r="I19">
            <v>4.6566128730773926E-10</v>
          </cell>
          <cell r="J19">
            <v>0</v>
          </cell>
          <cell r="K19">
            <v>4.6566128730773926E-10</v>
          </cell>
          <cell r="L19">
            <v>0</v>
          </cell>
          <cell r="M19">
            <v>4.6566128730773926E-10</v>
          </cell>
          <cell r="N19">
            <v>0</v>
          </cell>
          <cell r="O19">
            <v>4.6566128730773926E-10</v>
          </cell>
          <cell r="P19">
            <v>0</v>
          </cell>
          <cell r="Q19">
            <v>4.6566128730773926E-10</v>
          </cell>
          <cell r="R19">
            <v>0</v>
          </cell>
          <cell r="S19">
            <v>4.6566128730773926E-10</v>
          </cell>
          <cell r="T19">
            <v>0</v>
          </cell>
          <cell r="U19">
            <v>4.6566128730773926E-10</v>
          </cell>
          <cell r="V19">
            <v>0</v>
          </cell>
          <cell r="W19">
            <v>4.6566128730773926E-10</v>
          </cell>
          <cell r="X19">
            <v>0</v>
          </cell>
          <cell r="Y19">
            <v>4.6566128730773926E-10</v>
          </cell>
          <cell r="Z19">
            <v>0</v>
          </cell>
          <cell r="AA19">
            <v>4.6566128730773926E-10</v>
          </cell>
          <cell r="AB19">
            <v>0</v>
          </cell>
        </row>
        <row r="20">
          <cell r="B20" t="str">
            <v>10104050 00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B21" t="str">
            <v>10104070 00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B22" t="str">
            <v>10301010 00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B23" t="str">
            <v>10305010 00</v>
          </cell>
          <cell r="C23">
            <v>150868.79999999999</v>
          </cell>
          <cell r="D23">
            <v>0</v>
          </cell>
          <cell r="E23">
            <v>150868.79999999999</v>
          </cell>
          <cell r="F23">
            <v>0</v>
          </cell>
          <cell r="G23">
            <v>150868.79999999999</v>
          </cell>
          <cell r="H23">
            <v>0</v>
          </cell>
          <cell r="I23">
            <v>150868.79999999999</v>
          </cell>
          <cell r="J23">
            <v>0</v>
          </cell>
          <cell r="K23">
            <v>150868.79999999999</v>
          </cell>
          <cell r="L23">
            <v>0</v>
          </cell>
          <cell r="M23">
            <v>150868.79999999999</v>
          </cell>
          <cell r="N23">
            <v>0</v>
          </cell>
          <cell r="O23">
            <v>150868.79999999999</v>
          </cell>
          <cell r="P23">
            <v>0</v>
          </cell>
          <cell r="Q23">
            <v>150868.79999999999</v>
          </cell>
          <cell r="R23">
            <v>0</v>
          </cell>
          <cell r="S23">
            <v>150868.79999999999</v>
          </cell>
          <cell r="T23">
            <v>0</v>
          </cell>
          <cell r="U23">
            <v>150868.79999999999</v>
          </cell>
          <cell r="V23">
            <v>0</v>
          </cell>
          <cell r="W23">
            <v>150868.79999999999</v>
          </cell>
          <cell r="X23">
            <v>0</v>
          </cell>
          <cell r="Y23">
            <v>150868.79999999999</v>
          </cell>
          <cell r="Z23">
            <v>0</v>
          </cell>
          <cell r="AA23">
            <v>150868.79999999999</v>
          </cell>
          <cell r="AB23">
            <v>0</v>
          </cell>
        </row>
        <row r="24">
          <cell r="B24" t="str">
            <v>10305020 00</v>
          </cell>
          <cell r="C24">
            <v>0</v>
          </cell>
          <cell r="D24">
            <v>0</v>
          </cell>
          <cell r="E24">
            <v>5040</v>
          </cell>
          <cell r="F24">
            <v>0</v>
          </cell>
          <cell r="G24">
            <v>5040</v>
          </cell>
          <cell r="H24">
            <v>0</v>
          </cell>
          <cell r="I24">
            <v>21059.000000000058</v>
          </cell>
          <cell r="J24">
            <v>0</v>
          </cell>
          <cell r="K24">
            <v>21059.000000000058</v>
          </cell>
          <cell r="L24">
            <v>0</v>
          </cell>
          <cell r="M24">
            <v>21059.000000000058</v>
          </cell>
          <cell r="N24">
            <v>0</v>
          </cell>
          <cell r="O24">
            <v>21059.000000000058</v>
          </cell>
          <cell r="P24">
            <v>0</v>
          </cell>
          <cell r="Q24">
            <v>21059.000000000058</v>
          </cell>
          <cell r="R24">
            <v>0</v>
          </cell>
          <cell r="S24">
            <v>21059.000000000058</v>
          </cell>
          <cell r="T24">
            <v>0</v>
          </cell>
          <cell r="U24">
            <v>21059.000000000058</v>
          </cell>
          <cell r="V24">
            <v>0</v>
          </cell>
          <cell r="W24">
            <v>21059.000000000058</v>
          </cell>
          <cell r="X24">
            <v>0</v>
          </cell>
          <cell r="Y24">
            <v>21059.000000000058</v>
          </cell>
          <cell r="Z24">
            <v>0</v>
          </cell>
          <cell r="AA24">
            <v>21059.000000000058</v>
          </cell>
          <cell r="AB24">
            <v>0</v>
          </cell>
        </row>
        <row r="25">
          <cell r="B25" t="str">
            <v>10305990 00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931</v>
          </cell>
          <cell r="J25">
            <v>0</v>
          </cell>
          <cell r="K25">
            <v>931</v>
          </cell>
          <cell r="L25">
            <v>0</v>
          </cell>
          <cell r="M25">
            <v>931</v>
          </cell>
          <cell r="N25">
            <v>0</v>
          </cell>
          <cell r="O25">
            <v>931</v>
          </cell>
          <cell r="P25">
            <v>0</v>
          </cell>
          <cell r="Q25">
            <v>931</v>
          </cell>
          <cell r="R25">
            <v>0</v>
          </cell>
          <cell r="S25">
            <v>931</v>
          </cell>
          <cell r="T25">
            <v>0</v>
          </cell>
          <cell r="U25">
            <v>931</v>
          </cell>
          <cell r="V25">
            <v>0</v>
          </cell>
          <cell r="W25">
            <v>931</v>
          </cell>
          <cell r="X25">
            <v>0</v>
          </cell>
          <cell r="Y25">
            <v>931</v>
          </cell>
          <cell r="Z25">
            <v>0</v>
          </cell>
          <cell r="AA25">
            <v>931</v>
          </cell>
          <cell r="AB25">
            <v>0</v>
          </cell>
        </row>
        <row r="26">
          <cell r="B26" t="str">
            <v>10404010 00</v>
          </cell>
          <cell r="C26">
            <v>809037.6</v>
          </cell>
          <cell r="D26">
            <v>0</v>
          </cell>
          <cell r="E26">
            <v>730509.17999999993</v>
          </cell>
          <cell r="F26">
            <v>0</v>
          </cell>
          <cell r="G26">
            <v>705879.16999999993</v>
          </cell>
          <cell r="H26">
            <v>0</v>
          </cell>
          <cell r="I26">
            <v>734427.77999999991</v>
          </cell>
          <cell r="J26">
            <v>0</v>
          </cell>
          <cell r="K26">
            <v>734427.77999999991</v>
          </cell>
          <cell r="L26">
            <v>0</v>
          </cell>
          <cell r="M26">
            <v>734427.77999999991</v>
          </cell>
          <cell r="N26">
            <v>0</v>
          </cell>
          <cell r="O26">
            <v>734427.77999999991</v>
          </cell>
          <cell r="P26">
            <v>0</v>
          </cell>
          <cell r="Q26">
            <v>734427.77999999991</v>
          </cell>
          <cell r="R26">
            <v>0</v>
          </cell>
          <cell r="S26">
            <v>734427.77999999991</v>
          </cell>
          <cell r="T26">
            <v>0</v>
          </cell>
          <cell r="U26">
            <v>734427.77999999991</v>
          </cell>
          <cell r="V26">
            <v>0</v>
          </cell>
          <cell r="W26">
            <v>734427.77999999991</v>
          </cell>
          <cell r="X26">
            <v>0</v>
          </cell>
          <cell r="Y26">
            <v>734427.77999999991</v>
          </cell>
          <cell r="Z26">
            <v>0</v>
          </cell>
          <cell r="AA26">
            <v>734427.77999999991</v>
          </cell>
          <cell r="AB26">
            <v>0</v>
          </cell>
        </row>
        <row r="27">
          <cell r="B27" t="str">
            <v>10404020 00</v>
          </cell>
          <cell r="C27">
            <v>198700</v>
          </cell>
          <cell r="D27">
            <v>0</v>
          </cell>
          <cell r="E27">
            <v>185942</v>
          </cell>
          <cell r="F27">
            <v>0</v>
          </cell>
          <cell r="G27">
            <v>170364</v>
          </cell>
          <cell r="H27">
            <v>0</v>
          </cell>
          <cell r="I27">
            <v>154098</v>
          </cell>
          <cell r="J27">
            <v>0</v>
          </cell>
          <cell r="K27">
            <v>154098</v>
          </cell>
          <cell r="L27">
            <v>0</v>
          </cell>
          <cell r="M27">
            <v>154098</v>
          </cell>
          <cell r="N27">
            <v>0</v>
          </cell>
          <cell r="O27">
            <v>154098</v>
          </cell>
          <cell r="P27">
            <v>0</v>
          </cell>
          <cell r="Q27">
            <v>154098</v>
          </cell>
          <cell r="R27">
            <v>0</v>
          </cell>
          <cell r="S27">
            <v>154098</v>
          </cell>
          <cell r="T27">
            <v>0</v>
          </cell>
          <cell r="U27">
            <v>154098</v>
          </cell>
          <cell r="V27">
            <v>0</v>
          </cell>
          <cell r="W27">
            <v>154098</v>
          </cell>
          <cell r="X27">
            <v>0</v>
          </cell>
          <cell r="Y27">
            <v>154098</v>
          </cell>
          <cell r="Z27">
            <v>0</v>
          </cell>
          <cell r="AA27">
            <v>154098</v>
          </cell>
          <cell r="AB27">
            <v>0</v>
          </cell>
        </row>
        <row r="28">
          <cell r="B28" t="str">
            <v>10404070 00</v>
          </cell>
          <cell r="C28">
            <v>53600</v>
          </cell>
          <cell r="D28">
            <v>0</v>
          </cell>
          <cell r="E28">
            <v>53600</v>
          </cell>
          <cell r="F28">
            <v>0</v>
          </cell>
          <cell r="G28">
            <v>53600</v>
          </cell>
          <cell r="H28">
            <v>0</v>
          </cell>
          <cell r="I28">
            <v>60500</v>
          </cell>
          <cell r="J28">
            <v>0</v>
          </cell>
          <cell r="K28">
            <v>60500</v>
          </cell>
          <cell r="L28">
            <v>0</v>
          </cell>
          <cell r="M28">
            <v>60500</v>
          </cell>
          <cell r="N28">
            <v>0</v>
          </cell>
          <cell r="O28">
            <v>60500</v>
          </cell>
          <cell r="P28">
            <v>0</v>
          </cell>
          <cell r="Q28">
            <v>60500</v>
          </cell>
          <cell r="R28">
            <v>0</v>
          </cell>
          <cell r="S28">
            <v>60500</v>
          </cell>
          <cell r="T28">
            <v>0</v>
          </cell>
          <cell r="U28">
            <v>60500</v>
          </cell>
          <cell r="V28">
            <v>0</v>
          </cell>
          <cell r="W28">
            <v>60500</v>
          </cell>
          <cell r="X28">
            <v>0</v>
          </cell>
          <cell r="Y28">
            <v>60500</v>
          </cell>
          <cell r="Z28">
            <v>0</v>
          </cell>
          <cell r="AA28">
            <v>60500</v>
          </cell>
          <cell r="AB28">
            <v>0</v>
          </cell>
        </row>
        <row r="29">
          <cell r="B29" t="str">
            <v>10404990 00</v>
          </cell>
          <cell r="C29">
            <v>224143.34000000003</v>
          </cell>
          <cell r="D29">
            <v>0</v>
          </cell>
          <cell r="E29">
            <v>224143.34000000003</v>
          </cell>
          <cell r="F29">
            <v>0</v>
          </cell>
          <cell r="G29">
            <v>222705.34000000003</v>
          </cell>
          <cell r="H29">
            <v>0</v>
          </cell>
          <cell r="I29">
            <v>221806.59000000003</v>
          </cell>
          <cell r="J29">
            <v>0</v>
          </cell>
          <cell r="K29">
            <v>221806.59000000003</v>
          </cell>
          <cell r="L29">
            <v>0</v>
          </cell>
          <cell r="M29">
            <v>221806.59000000003</v>
          </cell>
          <cell r="N29">
            <v>0</v>
          </cell>
          <cell r="O29">
            <v>221806.59000000003</v>
          </cell>
          <cell r="P29">
            <v>0</v>
          </cell>
          <cell r="Q29">
            <v>221806.59000000003</v>
          </cell>
          <cell r="R29">
            <v>0</v>
          </cell>
          <cell r="S29">
            <v>221806.59000000003</v>
          </cell>
          <cell r="T29">
            <v>0</v>
          </cell>
          <cell r="U29">
            <v>221806.59000000003</v>
          </cell>
          <cell r="V29">
            <v>0</v>
          </cell>
          <cell r="W29">
            <v>221806.59000000003</v>
          </cell>
          <cell r="X29">
            <v>0</v>
          </cell>
          <cell r="Y29">
            <v>221806.59000000003</v>
          </cell>
          <cell r="Z29">
            <v>0</v>
          </cell>
          <cell r="AA29">
            <v>221806.59000000003</v>
          </cell>
          <cell r="AB29">
            <v>0</v>
          </cell>
        </row>
        <row r="30">
          <cell r="B30" t="str">
            <v>10601010 00</v>
          </cell>
          <cell r="C30">
            <v>551250</v>
          </cell>
          <cell r="D30">
            <v>0</v>
          </cell>
          <cell r="E30">
            <v>551250</v>
          </cell>
          <cell r="F30">
            <v>0</v>
          </cell>
          <cell r="G30">
            <v>551250</v>
          </cell>
          <cell r="H30">
            <v>0</v>
          </cell>
          <cell r="I30">
            <v>551250</v>
          </cell>
          <cell r="J30">
            <v>0</v>
          </cell>
          <cell r="K30">
            <v>551250</v>
          </cell>
          <cell r="L30">
            <v>0</v>
          </cell>
          <cell r="M30">
            <v>551250</v>
          </cell>
          <cell r="N30">
            <v>0</v>
          </cell>
          <cell r="O30">
            <v>551250</v>
          </cell>
          <cell r="P30">
            <v>0</v>
          </cell>
          <cell r="Q30">
            <v>551250</v>
          </cell>
          <cell r="R30">
            <v>0</v>
          </cell>
          <cell r="S30">
            <v>551250</v>
          </cell>
          <cell r="T30">
            <v>0</v>
          </cell>
          <cell r="U30">
            <v>551250</v>
          </cell>
          <cell r="V30">
            <v>0</v>
          </cell>
          <cell r="W30">
            <v>551250</v>
          </cell>
          <cell r="X30">
            <v>0</v>
          </cell>
          <cell r="Y30">
            <v>551250</v>
          </cell>
          <cell r="Z30">
            <v>0</v>
          </cell>
          <cell r="AA30">
            <v>551250</v>
          </cell>
          <cell r="AB30">
            <v>0</v>
          </cell>
        </row>
        <row r="31">
          <cell r="B31" t="str">
            <v>10602990 00</v>
          </cell>
          <cell r="C31">
            <v>525000</v>
          </cell>
          <cell r="D31">
            <v>0</v>
          </cell>
          <cell r="E31">
            <v>525000</v>
          </cell>
          <cell r="F31">
            <v>0</v>
          </cell>
          <cell r="G31">
            <v>525000</v>
          </cell>
          <cell r="H31">
            <v>0</v>
          </cell>
          <cell r="I31">
            <v>525000</v>
          </cell>
          <cell r="J31">
            <v>0</v>
          </cell>
          <cell r="K31">
            <v>525000</v>
          </cell>
          <cell r="L31">
            <v>0</v>
          </cell>
          <cell r="M31">
            <v>525000</v>
          </cell>
          <cell r="N31">
            <v>0</v>
          </cell>
          <cell r="O31">
            <v>525000</v>
          </cell>
          <cell r="P31">
            <v>0</v>
          </cell>
          <cell r="Q31">
            <v>525000</v>
          </cell>
          <cell r="R31">
            <v>0</v>
          </cell>
          <cell r="S31">
            <v>525000</v>
          </cell>
          <cell r="T31">
            <v>0</v>
          </cell>
          <cell r="U31">
            <v>525000</v>
          </cell>
          <cell r="V31">
            <v>0</v>
          </cell>
          <cell r="W31">
            <v>525000</v>
          </cell>
          <cell r="X31">
            <v>0</v>
          </cell>
          <cell r="Y31">
            <v>525000</v>
          </cell>
          <cell r="Z31">
            <v>0</v>
          </cell>
          <cell r="AA31">
            <v>525000</v>
          </cell>
          <cell r="AB31">
            <v>0</v>
          </cell>
        </row>
        <row r="32">
          <cell r="B32" t="str">
            <v>10602991 00</v>
          </cell>
          <cell r="C32">
            <v>0</v>
          </cell>
          <cell r="D32">
            <v>468562.5</v>
          </cell>
          <cell r="E32">
            <v>0</v>
          </cell>
          <cell r="F32">
            <v>468759.38</v>
          </cell>
          <cell r="G32">
            <v>0</v>
          </cell>
          <cell r="H32">
            <v>468956.25</v>
          </cell>
          <cell r="I32">
            <v>0</v>
          </cell>
          <cell r="J32">
            <v>469153.13</v>
          </cell>
          <cell r="K32">
            <v>0</v>
          </cell>
          <cell r="L32">
            <v>469153.13</v>
          </cell>
          <cell r="M32">
            <v>0</v>
          </cell>
          <cell r="N32">
            <v>469153.13</v>
          </cell>
          <cell r="O32">
            <v>0</v>
          </cell>
          <cell r="P32">
            <v>469153.13</v>
          </cell>
          <cell r="Q32">
            <v>0</v>
          </cell>
          <cell r="R32">
            <v>469153.13</v>
          </cell>
          <cell r="S32">
            <v>0</v>
          </cell>
          <cell r="T32">
            <v>469153.13</v>
          </cell>
          <cell r="U32">
            <v>0</v>
          </cell>
          <cell r="V32">
            <v>469153.13</v>
          </cell>
          <cell r="W32">
            <v>0</v>
          </cell>
          <cell r="X32">
            <v>469153.13</v>
          </cell>
          <cell r="Y32">
            <v>0</v>
          </cell>
          <cell r="Z32">
            <v>469153.13</v>
          </cell>
          <cell r="AA32">
            <v>0</v>
          </cell>
          <cell r="AB32">
            <v>469153.13</v>
          </cell>
        </row>
        <row r="33">
          <cell r="B33" t="str">
            <v>10603050 00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B34" t="str">
            <v>10604010 00</v>
          </cell>
          <cell r="C34">
            <v>8564966.2699999996</v>
          </cell>
          <cell r="D34">
            <v>0</v>
          </cell>
          <cell r="E34">
            <v>8564966.2699999996</v>
          </cell>
          <cell r="F34">
            <v>0</v>
          </cell>
          <cell r="G34">
            <v>8564966.2699999996</v>
          </cell>
          <cell r="H34">
            <v>0</v>
          </cell>
          <cell r="I34">
            <v>8564966.2699999996</v>
          </cell>
          <cell r="J34">
            <v>0</v>
          </cell>
          <cell r="K34">
            <v>8564966.2699999996</v>
          </cell>
          <cell r="L34">
            <v>0</v>
          </cell>
          <cell r="M34">
            <v>8564966.2699999996</v>
          </cell>
          <cell r="N34">
            <v>0</v>
          </cell>
          <cell r="O34">
            <v>8564966.2699999996</v>
          </cell>
          <cell r="P34">
            <v>0</v>
          </cell>
          <cell r="Q34">
            <v>8564966.2699999996</v>
          </cell>
          <cell r="R34">
            <v>0</v>
          </cell>
          <cell r="S34">
            <v>8564966.2699999996</v>
          </cell>
          <cell r="T34">
            <v>0</v>
          </cell>
          <cell r="U34">
            <v>8564966.2699999996</v>
          </cell>
          <cell r="V34">
            <v>0</v>
          </cell>
          <cell r="W34">
            <v>8564966.2699999996</v>
          </cell>
          <cell r="X34">
            <v>0</v>
          </cell>
          <cell r="Y34">
            <v>8564966.2699999996</v>
          </cell>
          <cell r="Z34">
            <v>0</v>
          </cell>
          <cell r="AA34">
            <v>8564966.2699999996</v>
          </cell>
          <cell r="AB34">
            <v>0</v>
          </cell>
        </row>
        <row r="35">
          <cell r="B35" t="str">
            <v>10604011 00</v>
          </cell>
          <cell r="C35">
            <v>0</v>
          </cell>
          <cell r="D35">
            <v>1855327.44</v>
          </cell>
          <cell r="E35">
            <v>0</v>
          </cell>
          <cell r="F35">
            <v>1875639.8599999999</v>
          </cell>
          <cell r="G35">
            <v>0</v>
          </cell>
          <cell r="H35">
            <v>1895952.2699999998</v>
          </cell>
          <cell r="I35">
            <v>0</v>
          </cell>
          <cell r="J35">
            <v>1916264.6899999997</v>
          </cell>
          <cell r="K35">
            <v>0</v>
          </cell>
          <cell r="L35">
            <v>1916264.6899999997</v>
          </cell>
          <cell r="M35">
            <v>0</v>
          </cell>
          <cell r="N35">
            <v>1916264.6899999997</v>
          </cell>
          <cell r="O35">
            <v>0</v>
          </cell>
          <cell r="P35">
            <v>1916264.6899999997</v>
          </cell>
          <cell r="Q35">
            <v>0</v>
          </cell>
          <cell r="R35">
            <v>1916264.6899999997</v>
          </cell>
          <cell r="S35">
            <v>0</v>
          </cell>
          <cell r="T35">
            <v>1916264.6899999997</v>
          </cell>
          <cell r="U35">
            <v>0</v>
          </cell>
          <cell r="V35">
            <v>1916264.6899999997</v>
          </cell>
          <cell r="W35">
            <v>0</v>
          </cell>
          <cell r="X35">
            <v>1916264.6899999997</v>
          </cell>
          <cell r="Y35">
            <v>0</v>
          </cell>
          <cell r="Z35">
            <v>1916264.6899999997</v>
          </cell>
          <cell r="AA35">
            <v>0</v>
          </cell>
          <cell r="AB35">
            <v>1916264.6899999997</v>
          </cell>
        </row>
        <row r="36">
          <cell r="B36" t="str">
            <v>10604990 00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B37" t="str">
            <v>10604991 00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B38" t="str">
            <v>10605010 00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B39" t="str">
            <v>10605011 00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B40" t="str">
            <v>10605020 00</v>
          </cell>
          <cell r="C40">
            <v>1267376</v>
          </cell>
          <cell r="D40">
            <v>0</v>
          </cell>
          <cell r="E40">
            <v>1267376</v>
          </cell>
          <cell r="F40">
            <v>0</v>
          </cell>
          <cell r="G40">
            <v>1267376</v>
          </cell>
          <cell r="H40">
            <v>0</v>
          </cell>
          <cell r="I40">
            <v>1267376</v>
          </cell>
          <cell r="J40">
            <v>0</v>
          </cell>
          <cell r="K40">
            <v>1267376</v>
          </cell>
          <cell r="L40">
            <v>0</v>
          </cell>
          <cell r="M40">
            <v>1267376</v>
          </cell>
          <cell r="N40">
            <v>0</v>
          </cell>
          <cell r="O40">
            <v>1267376</v>
          </cell>
          <cell r="P40">
            <v>0</v>
          </cell>
          <cell r="Q40">
            <v>1267376</v>
          </cell>
          <cell r="R40">
            <v>0</v>
          </cell>
          <cell r="S40">
            <v>1267376</v>
          </cell>
          <cell r="T40">
            <v>0</v>
          </cell>
          <cell r="U40">
            <v>1267376</v>
          </cell>
          <cell r="V40">
            <v>0</v>
          </cell>
          <cell r="W40">
            <v>1267376</v>
          </cell>
          <cell r="X40">
            <v>0</v>
          </cell>
          <cell r="Y40">
            <v>1267376</v>
          </cell>
          <cell r="Z40">
            <v>0</v>
          </cell>
          <cell r="AA40">
            <v>1267376</v>
          </cell>
          <cell r="AB40">
            <v>0</v>
          </cell>
        </row>
        <row r="41">
          <cell r="B41" t="str">
            <v>10605021 00</v>
          </cell>
          <cell r="C41">
            <v>0</v>
          </cell>
          <cell r="D41">
            <v>942978.23</v>
          </cell>
          <cell r="E41">
            <v>0</v>
          </cell>
          <cell r="F41">
            <v>948903.30999999994</v>
          </cell>
          <cell r="G41">
            <v>0</v>
          </cell>
          <cell r="H41">
            <v>954828.37999999989</v>
          </cell>
          <cell r="I41">
            <v>0</v>
          </cell>
          <cell r="J41">
            <v>960753.45999999985</v>
          </cell>
          <cell r="K41">
            <v>0</v>
          </cell>
          <cell r="L41">
            <v>960753.45999999985</v>
          </cell>
          <cell r="M41">
            <v>0</v>
          </cell>
          <cell r="N41">
            <v>960753.45999999985</v>
          </cell>
          <cell r="O41">
            <v>0</v>
          </cell>
          <cell r="P41">
            <v>960753.45999999985</v>
          </cell>
          <cell r="Q41">
            <v>0</v>
          </cell>
          <cell r="R41">
            <v>960753.45999999985</v>
          </cell>
          <cell r="S41">
            <v>0</v>
          </cell>
          <cell r="T41">
            <v>960753.45999999985</v>
          </cell>
          <cell r="U41">
            <v>0</v>
          </cell>
          <cell r="V41">
            <v>960753.45999999985</v>
          </cell>
          <cell r="W41">
            <v>0</v>
          </cell>
          <cell r="X41">
            <v>960753.45999999985</v>
          </cell>
          <cell r="Y41">
            <v>0</v>
          </cell>
          <cell r="Z41">
            <v>960753.45999999985</v>
          </cell>
          <cell r="AA41">
            <v>0</v>
          </cell>
          <cell r="AB41">
            <v>960753.45999999985</v>
          </cell>
        </row>
        <row r="42">
          <cell r="B42" t="str">
            <v>10605030 00</v>
          </cell>
          <cell r="C42">
            <v>5320523.72</v>
          </cell>
          <cell r="D42">
            <v>0</v>
          </cell>
          <cell r="E42">
            <v>5320523.72</v>
          </cell>
          <cell r="F42">
            <v>0</v>
          </cell>
          <cell r="G42">
            <v>5320523.72</v>
          </cell>
          <cell r="H42">
            <v>0</v>
          </cell>
          <cell r="I42">
            <v>5320523.72</v>
          </cell>
          <cell r="J42">
            <v>0</v>
          </cell>
          <cell r="K42">
            <v>5320523.72</v>
          </cell>
          <cell r="L42">
            <v>0</v>
          </cell>
          <cell r="M42">
            <v>5320523.72</v>
          </cell>
          <cell r="N42">
            <v>0</v>
          </cell>
          <cell r="O42">
            <v>5320523.72</v>
          </cell>
          <cell r="P42">
            <v>0</v>
          </cell>
          <cell r="Q42">
            <v>5320523.72</v>
          </cell>
          <cell r="R42">
            <v>0</v>
          </cell>
          <cell r="S42">
            <v>5320523.72</v>
          </cell>
          <cell r="T42">
            <v>0</v>
          </cell>
          <cell r="U42">
            <v>5320523.72</v>
          </cell>
          <cell r="V42">
            <v>0</v>
          </cell>
          <cell r="W42">
            <v>5320523.72</v>
          </cell>
          <cell r="X42">
            <v>0</v>
          </cell>
          <cell r="Y42">
            <v>5320523.72</v>
          </cell>
          <cell r="Z42">
            <v>0</v>
          </cell>
          <cell r="AA42">
            <v>5320523.72</v>
          </cell>
          <cell r="AB42">
            <v>0</v>
          </cell>
        </row>
        <row r="43">
          <cell r="B43" t="str">
            <v>10605031 00</v>
          </cell>
          <cell r="C43">
            <v>0</v>
          </cell>
          <cell r="D43">
            <v>4075951.4</v>
          </cell>
          <cell r="E43">
            <v>0</v>
          </cell>
          <cell r="F43">
            <v>4100202.84</v>
          </cell>
          <cell r="G43">
            <v>0</v>
          </cell>
          <cell r="H43">
            <v>4124453.86</v>
          </cell>
          <cell r="I43">
            <v>0</v>
          </cell>
          <cell r="J43">
            <v>4148705.3</v>
          </cell>
          <cell r="K43">
            <v>0</v>
          </cell>
          <cell r="L43">
            <v>4148705.3</v>
          </cell>
          <cell r="M43">
            <v>0</v>
          </cell>
          <cell r="N43">
            <v>4148705.3</v>
          </cell>
          <cell r="O43">
            <v>0</v>
          </cell>
          <cell r="P43">
            <v>4148705.3</v>
          </cell>
          <cell r="Q43">
            <v>0</v>
          </cell>
          <cell r="R43">
            <v>4148705.3</v>
          </cell>
          <cell r="S43">
            <v>0</v>
          </cell>
          <cell r="T43">
            <v>4148705.3</v>
          </cell>
          <cell r="U43">
            <v>0</v>
          </cell>
          <cell r="V43">
            <v>4148705.3</v>
          </cell>
          <cell r="W43">
            <v>0</v>
          </cell>
          <cell r="X43">
            <v>4148705.3</v>
          </cell>
          <cell r="Y43">
            <v>0</v>
          </cell>
          <cell r="Z43">
            <v>4148705.3</v>
          </cell>
          <cell r="AA43">
            <v>0</v>
          </cell>
          <cell r="AB43">
            <v>4148705.3</v>
          </cell>
        </row>
        <row r="44">
          <cell r="B44" t="str">
            <v>10605070 00</v>
          </cell>
          <cell r="C44">
            <v>58765</v>
          </cell>
          <cell r="D44">
            <v>0</v>
          </cell>
          <cell r="E44">
            <v>58765</v>
          </cell>
          <cell r="F44">
            <v>0</v>
          </cell>
          <cell r="G44">
            <v>58765</v>
          </cell>
          <cell r="H44">
            <v>0</v>
          </cell>
          <cell r="I44">
            <v>58765</v>
          </cell>
          <cell r="J44">
            <v>0</v>
          </cell>
          <cell r="K44">
            <v>58765</v>
          </cell>
          <cell r="L44">
            <v>0</v>
          </cell>
          <cell r="M44">
            <v>58765</v>
          </cell>
          <cell r="N44">
            <v>0</v>
          </cell>
          <cell r="O44">
            <v>58765</v>
          </cell>
          <cell r="P44">
            <v>0</v>
          </cell>
          <cell r="Q44">
            <v>58765</v>
          </cell>
          <cell r="R44">
            <v>0</v>
          </cell>
          <cell r="S44">
            <v>58765</v>
          </cell>
          <cell r="T44">
            <v>0</v>
          </cell>
          <cell r="U44">
            <v>58765</v>
          </cell>
          <cell r="V44">
            <v>0</v>
          </cell>
          <cell r="W44">
            <v>58765</v>
          </cell>
          <cell r="X44">
            <v>0</v>
          </cell>
          <cell r="Y44">
            <v>58765</v>
          </cell>
          <cell r="Z44">
            <v>0</v>
          </cell>
          <cell r="AA44">
            <v>58765</v>
          </cell>
          <cell r="AB44">
            <v>0</v>
          </cell>
        </row>
        <row r="45">
          <cell r="B45" t="str">
            <v>10605071 00</v>
          </cell>
          <cell r="C45">
            <v>0</v>
          </cell>
          <cell r="D45">
            <v>38082.46</v>
          </cell>
          <cell r="E45">
            <v>0</v>
          </cell>
          <cell r="F45">
            <v>38305.71</v>
          </cell>
          <cell r="G45">
            <v>0</v>
          </cell>
          <cell r="H45">
            <v>38528.94</v>
          </cell>
          <cell r="I45">
            <v>0</v>
          </cell>
          <cell r="J45">
            <v>38752.18</v>
          </cell>
          <cell r="K45">
            <v>0</v>
          </cell>
          <cell r="L45">
            <v>38752.18</v>
          </cell>
          <cell r="M45">
            <v>0</v>
          </cell>
          <cell r="N45">
            <v>38752.18</v>
          </cell>
          <cell r="O45">
            <v>0</v>
          </cell>
          <cell r="P45">
            <v>38752.18</v>
          </cell>
          <cell r="Q45">
            <v>0</v>
          </cell>
          <cell r="R45">
            <v>38752.18</v>
          </cell>
          <cell r="S45">
            <v>0</v>
          </cell>
          <cell r="T45">
            <v>38752.18</v>
          </cell>
          <cell r="U45">
            <v>0</v>
          </cell>
          <cell r="V45">
            <v>38752.18</v>
          </cell>
          <cell r="W45">
            <v>0</v>
          </cell>
          <cell r="X45">
            <v>38752.18</v>
          </cell>
          <cell r="Y45">
            <v>0</v>
          </cell>
          <cell r="Z45">
            <v>38752.18</v>
          </cell>
          <cell r="AA45">
            <v>0</v>
          </cell>
          <cell r="AB45">
            <v>38752.18</v>
          </cell>
        </row>
        <row r="46">
          <cell r="B46" t="str">
            <v>10605140 00</v>
          </cell>
          <cell r="C46">
            <v>14083970.4</v>
          </cell>
          <cell r="D46">
            <v>0</v>
          </cell>
          <cell r="E46">
            <v>14083970.4</v>
          </cell>
          <cell r="F46">
            <v>0</v>
          </cell>
          <cell r="G46">
            <v>14083970.4</v>
          </cell>
          <cell r="H46">
            <v>0</v>
          </cell>
          <cell r="I46">
            <v>14103720.4</v>
          </cell>
          <cell r="J46">
            <v>0</v>
          </cell>
          <cell r="K46">
            <v>14103720.4</v>
          </cell>
          <cell r="L46">
            <v>0</v>
          </cell>
          <cell r="M46">
            <v>14103720.4</v>
          </cell>
          <cell r="N46">
            <v>0</v>
          </cell>
          <cell r="O46">
            <v>14103720.4</v>
          </cell>
          <cell r="P46">
            <v>0</v>
          </cell>
          <cell r="Q46">
            <v>14103720.4</v>
          </cell>
          <cell r="R46">
            <v>0</v>
          </cell>
          <cell r="S46">
            <v>14103720.4</v>
          </cell>
          <cell r="T46">
            <v>0</v>
          </cell>
          <cell r="U46">
            <v>14103720.4</v>
          </cell>
          <cell r="V46">
            <v>0</v>
          </cell>
          <cell r="W46">
            <v>14103720.4</v>
          </cell>
          <cell r="X46">
            <v>0</v>
          </cell>
          <cell r="Y46">
            <v>14103720.4</v>
          </cell>
          <cell r="Z46">
            <v>0</v>
          </cell>
          <cell r="AA46">
            <v>14103720.4</v>
          </cell>
          <cell r="AB46">
            <v>0</v>
          </cell>
        </row>
        <row r="47">
          <cell r="B47" t="str">
            <v>10605141 00</v>
          </cell>
          <cell r="C47">
            <v>0</v>
          </cell>
          <cell r="D47">
            <v>4678670.57</v>
          </cell>
          <cell r="E47">
            <v>0</v>
          </cell>
          <cell r="F47">
            <v>4772676.41</v>
          </cell>
          <cell r="G47">
            <v>0</v>
          </cell>
          <cell r="H47">
            <v>4866682.12</v>
          </cell>
          <cell r="I47">
            <v>0</v>
          </cell>
          <cell r="J47">
            <v>4964054.4400000004</v>
          </cell>
          <cell r="K47">
            <v>0</v>
          </cell>
          <cell r="L47">
            <v>4964054.4400000004</v>
          </cell>
          <cell r="M47">
            <v>0</v>
          </cell>
          <cell r="N47">
            <v>4964054.4400000004</v>
          </cell>
          <cell r="O47">
            <v>0</v>
          </cell>
          <cell r="P47">
            <v>4964054.4400000004</v>
          </cell>
          <cell r="Q47">
            <v>0</v>
          </cell>
          <cell r="R47">
            <v>4964054.4400000004</v>
          </cell>
          <cell r="S47">
            <v>0</v>
          </cell>
          <cell r="T47">
            <v>4964054.4400000004</v>
          </cell>
          <cell r="U47">
            <v>0</v>
          </cell>
          <cell r="V47">
            <v>4964054.4400000004</v>
          </cell>
          <cell r="W47">
            <v>0</v>
          </cell>
          <cell r="X47">
            <v>4964054.4400000004</v>
          </cell>
          <cell r="Y47">
            <v>0</v>
          </cell>
          <cell r="Z47">
            <v>4964054.4400000004</v>
          </cell>
          <cell r="AA47">
            <v>0</v>
          </cell>
          <cell r="AB47">
            <v>4964054.4400000004</v>
          </cell>
        </row>
        <row r="48">
          <cell r="B48" t="str">
            <v>10606010 00</v>
          </cell>
          <cell r="C48">
            <v>4244500</v>
          </cell>
          <cell r="D48">
            <v>0</v>
          </cell>
          <cell r="E48">
            <v>4244500</v>
          </cell>
          <cell r="F48">
            <v>0</v>
          </cell>
          <cell r="G48">
            <v>4244500</v>
          </cell>
          <cell r="H48">
            <v>0</v>
          </cell>
          <cell r="I48">
            <v>4244500</v>
          </cell>
          <cell r="J48">
            <v>0</v>
          </cell>
          <cell r="K48">
            <v>4244500</v>
          </cell>
          <cell r="L48">
            <v>0</v>
          </cell>
          <cell r="M48">
            <v>4244500</v>
          </cell>
          <cell r="N48">
            <v>0</v>
          </cell>
          <cell r="O48">
            <v>4244500</v>
          </cell>
          <cell r="P48">
            <v>0</v>
          </cell>
          <cell r="Q48">
            <v>4244500</v>
          </cell>
          <cell r="R48">
            <v>0</v>
          </cell>
          <cell r="S48">
            <v>4244500</v>
          </cell>
          <cell r="T48">
            <v>0</v>
          </cell>
          <cell r="U48">
            <v>4244500</v>
          </cell>
          <cell r="V48">
            <v>0</v>
          </cell>
          <cell r="W48">
            <v>4244500</v>
          </cell>
          <cell r="X48">
            <v>0</v>
          </cell>
          <cell r="Y48">
            <v>4244500</v>
          </cell>
          <cell r="Z48">
            <v>0</v>
          </cell>
          <cell r="AA48">
            <v>4244500</v>
          </cell>
          <cell r="AB48">
            <v>0</v>
          </cell>
        </row>
        <row r="49">
          <cell r="B49" t="str">
            <v>10606011 00</v>
          </cell>
          <cell r="C49">
            <v>0</v>
          </cell>
          <cell r="D49">
            <v>2784085.72</v>
          </cell>
          <cell r="E49">
            <v>0</v>
          </cell>
          <cell r="F49">
            <v>2791151.79</v>
          </cell>
          <cell r="G49">
            <v>0</v>
          </cell>
          <cell r="H49">
            <v>2813217.86</v>
          </cell>
          <cell r="I49">
            <v>0</v>
          </cell>
          <cell r="J49">
            <v>2835283.9299999997</v>
          </cell>
          <cell r="K49">
            <v>0</v>
          </cell>
          <cell r="L49">
            <v>2835283.9299999997</v>
          </cell>
          <cell r="M49">
            <v>0</v>
          </cell>
          <cell r="N49">
            <v>2835283.9299999997</v>
          </cell>
          <cell r="O49">
            <v>0</v>
          </cell>
          <cell r="P49">
            <v>2835283.9299999997</v>
          </cell>
          <cell r="Q49">
            <v>0</v>
          </cell>
          <cell r="R49">
            <v>2835283.9299999997</v>
          </cell>
          <cell r="S49">
            <v>0</v>
          </cell>
          <cell r="T49">
            <v>2835283.9299999997</v>
          </cell>
          <cell r="U49">
            <v>0</v>
          </cell>
          <cell r="V49">
            <v>2835283.9299999997</v>
          </cell>
          <cell r="W49">
            <v>0</v>
          </cell>
          <cell r="X49">
            <v>2835283.9299999997</v>
          </cell>
          <cell r="Y49">
            <v>0</v>
          </cell>
          <cell r="Z49">
            <v>2835283.9299999997</v>
          </cell>
          <cell r="AA49">
            <v>0</v>
          </cell>
          <cell r="AB49">
            <v>2835283.9299999997</v>
          </cell>
        </row>
        <row r="50">
          <cell r="B50" t="str">
            <v>10607010 00</v>
          </cell>
          <cell r="C50">
            <v>1494617.21</v>
          </cell>
          <cell r="D50">
            <v>0</v>
          </cell>
          <cell r="E50">
            <v>1494617.21</v>
          </cell>
          <cell r="F50">
            <v>0</v>
          </cell>
          <cell r="G50">
            <v>1494617.21</v>
          </cell>
          <cell r="H50">
            <v>0</v>
          </cell>
          <cell r="I50">
            <v>1494617.21</v>
          </cell>
          <cell r="J50">
            <v>0</v>
          </cell>
          <cell r="K50">
            <v>1494617.21</v>
          </cell>
          <cell r="L50">
            <v>0</v>
          </cell>
          <cell r="M50">
            <v>1494617.21</v>
          </cell>
          <cell r="N50">
            <v>0</v>
          </cell>
          <cell r="O50">
            <v>1494617.21</v>
          </cell>
          <cell r="P50">
            <v>0</v>
          </cell>
          <cell r="Q50">
            <v>1494617.21</v>
          </cell>
          <cell r="R50">
            <v>0</v>
          </cell>
          <cell r="S50">
            <v>1494617.21</v>
          </cell>
          <cell r="T50">
            <v>0</v>
          </cell>
          <cell r="U50">
            <v>1494617.21</v>
          </cell>
          <cell r="V50">
            <v>0</v>
          </cell>
          <cell r="W50">
            <v>1494617.21</v>
          </cell>
          <cell r="X50">
            <v>0</v>
          </cell>
          <cell r="Y50">
            <v>1494617.21</v>
          </cell>
          <cell r="Z50">
            <v>0</v>
          </cell>
          <cell r="AA50">
            <v>1494617.21</v>
          </cell>
          <cell r="AB50">
            <v>0</v>
          </cell>
        </row>
        <row r="51">
          <cell r="B51" t="str">
            <v>10607011 00</v>
          </cell>
          <cell r="C51">
            <v>0</v>
          </cell>
          <cell r="D51">
            <v>491008.39</v>
          </cell>
          <cell r="E51">
            <v>0</v>
          </cell>
          <cell r="F51">
            <v>500121.4</v>
          </cell>
          <cell r="G51">
            <v>0</v>
          </cell>
          <cell r="H51">
            <v>509233.73000000004</v>
          </cell>
          <cell r="I51">
            <v>0</v>
          </cell>
          <cell r="J51">
            <v>518346.74000000005</v>
          </cell>
          <cell r="K51">
            <v>0</v>
          </cell>
          <cell r="L51">
            <v>518346.74000000005</v>
          </cell>
          <cell r="M51">
            <v>0</v>
          </cell>
          <cell r="N51">
            <v>518346.74000000005</v>
          </cell>
          <cell r="O51">
            <v>0</v>
          </cell>
          <cell r="P51">
            <v>518346.74000000005</v>
          </cell>
          <cell r="Q51">
            <v>0</v>
          </cell>
          <cell r="R51">
            <v>518346.74000000005</v>
          </cell>
          <cell r="S51">
            <v>0</v>
          </cell>
          <cell r="T51">
            <v>518346.74000000005</v>
          </cell>
          <cell r="U51">
            <v>0</v>
          </cell>
          <cell r="V51">
            <v>518346.74000000005</v>
          </cell>
          <cell r="W51">
            <v>0</v>
          </cell>
          <cell r="X51">
            <v>518346.74000000005</v>
          </cell>
          <cell r="Y51">
            <v>0</v>
          </cell>
          <cell r="Z51">
            <v>518346.74000000005</v>
          </cell>
          <cell r="AA51">
            <v>0</v>
          </cell>
          <cell r="AB51">
            <v>518346.74000000005</v>
          </cell>
        </row>
        <row r="52">
          <cell r="B52" t="str">
            <v>10610030 00</v>
          </cell>
          <cell r="C52">
            <v>6521489.2300000004</v>
          </cell>
          <cell r="D52">
            <v>0</v>
          </cell>
          <cell r="E52">
            <v>6521489.2300000004</v>
          </cell>
          <cell r="F52">
            <v>0</v>
          </cell>
          <cell r="G52">
            <v>6521489.2300000004</v>
          </cell>
          <cell r="H52">
            <v>0</v>
          </cell>
          <cell r="I52">
            <v>6521489.2300000004</v>
          </cell>
          <cell r="J52">
            <v>0</v>
          </cell>
          <cell r="K52">
            <v>6521489.2300000004</v>
          </cell>
          <cell r="L52">
            <v>0</v>
          </cell>
          <cell r="M52">
            <v>6521489.2300000004</v>
          </cell>
          <cell r="N52">
            <v>0</v>
          </cell>
          <cell r="O52">
            <v>6521489.2300000004</v>
          </cell>
          <cell r="P52">
            <v>0</v>
          </cell>
          <cell r="Q52">
            <v>6521489.2300000004</v>
          </cell>
          <cell r="R52">
            <v>0</v>
          </cell>
          <cell r="S52">
            <v>6521489.2300000004</v>
          </cell>
          <cell r="T52">
            <v>0</v>
          </cell>
          <cell r="U52">
            <v>6521489.2300000004</v>
          </cell>
          <cell r="V52">
            <v>0</v>
          </cell>
          <cell r="W52">
            <v>6521489.2300000004</v>
          </cell>
          <cell r="X52">
            <v>0</v>
          </cell>
          <cell r="Y52">
            <v>6521489.2300000004</v>
          </cell>
          <cell r="Z52">
            <v>0</v>
          </cell>
          <cell r="AA52">
            <v>6521489.2300000004</v>
          </cell>
          <cell r="AB52">
            <v>0</v>
          </cell>
        </row>
        <row r="53">
          <cell r="B53" t="str">
            <v>10699990 00</v>
          </cell>
          <cell r="C53">
            <v>691130</v>
          </cell>
          <cell r="D53">
            <v>0</v>
          </cell>
          <cell r="E53">
            <v>691130</v>
          </cell>
          <cell r="F53">
            <v>0</v>
          </cell>
          <cell r="G53">
            <v>691130</v>
          </cell>
          <cell r="H53">
            <v>0</v>
          </cell>
          <cell r="I53">
            <v>714920</v>
          </cell>
          <cell r="J53">
            <v>0</v>
          </cell>
          <cell r="K53">
            <v>714920</v>
          </cell>
          <cell r="L53">
            <v>0</v>
          </cell>
          <cell r="M53">
            <v>714920</v>
          </cell>
          <cell r="N53">
            <v>0</v>
          </cell>
          <cell r="O53">
            <v>714920</v>
          </cell>
          <cell r="P53">
            <v>0</v>
          </cell>
          <cell r="Q53">
            <v>714920</v>
          </cell>
          <cell r="R53">
            <v>0</v>
          </cell>
          <cell r="S53">
            <v>714920</v>
          </cell>
          <cell r="T53">
            <v>0</v>
          </cell>
          <cell r="U53">
            <v>714920</v>
          </cell>
          <cell r="V53">
            <v>0</v>
          </cell>
          <cell r="W53">
            <v>714920</v>
          </cell>
          <cell r="X53">
            <v>0</v>
          </cell>
          <cell r="Y53">
            <v>714920</v>
          </cell>
          <cell r="Z53">
            <v>0</v>
          </cell>
          <cell r="AA53">
            <v>714920</v>
          </cell>
          <cell r="AB53">
            <v>0</v>
          </cell>
        </row>
        <row r="54">
          <cell r="B54" t="str">
            <v>10699991 00</v>
          </cell>
          <cell r="C54">
            <v>0</v>
          </cell>
          <cell r="D54">
            <v>386157.58</v>
          </cell>
          <cell r="E54">
            <v>0</v>
          </cell>
          <cell r="F54">
            <v>392946.83</v>
          </cell>
          <cell r="G54">
            <v>0</v>
          </cell>
          <cell r="H54">
            <v>399736.09</v>
          </cell>
          <cell r="I54">
            <v>0</v>
          </cell>
          <cell r="J54">
            <v>415387.22000000003</v>
          </cell>
          <cell r="K54">
            <v>0</v>
          </cell>
          <cell r="L54">
            <v>415387.22000000003</v>
          </cell>
          <cell r="M54">
            <v>0</v>
          </cell>
          <cell r="N54">
            <v>415387.22000000003</v>
          </cell>
          <cell r="O54">
            <v>0</v>
          </cell>
          <cell r="P54">
            <v>415387.22000000003</v>
          </cell>
          <cell r="Q54">
            <v>0</v>
          </cell>
          <cell r="R54">
            <v>415387.22000000003</v>
          </cell>
          <cell r="S54">
            <v>0</v>
          </cell>
          <cell r="T54">
            <v>415387.22000000003</v>
          </cell>
          <cell r="U54">
            <v>0</v>
          </cell>
          <cell r="V54">
            <v>415387.22000000003</v>
          </cell>
          <cell r="W54">
            <v>0</v>
          </cell>
          <cell r="X54">
            <v>415387.22000000003</v>
          </cell>
          <cell r="Y54">
            <v>0</v>
          </cell>
          <cell r="Z54">
            <v>415387.22000000003</v>
          </cell>
          <cell r="AA54">
            <v>0</v>
          </cell>
          <cell r="AB54">
            <v>415387.22000000003</v>
          </cell>
        </row>
        <row r="55">
          <cell r="B55" t="str">
            <v>10801020 00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B56" t="str">
            <v>19901020 00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</row>
        <row r="57">
          <cell r="B57" t="str">
            <v>19901030 00</v>
          </cell>
          <cell r="C57">
            <v>16019</v>
          </cell>
          <cell r="D57">
            <v>0</v>
          </cell>
          <cell r="E57">
            <v>72319</v>
          </cell>
          <cell r="F57">
            <v>0</v>
          </cell>
          <cell r="G57">
            <v>93519</v>
          </cell>
          <cell r="H57">
            <v>0</v>
          </cell>
          <cell r="I57">
            <v>198283.99</v>
          </cell>
          <cell r="J57">
            <v>0</v>
          </cell>
          <cell r="K57">
            <v>198283.99</v>
          </cell>
          <cell r="L57">
            <v>0</v>
          </cell>
          <cell r="M57">
            <v>198283.99</v>
          </cell>
          <cell r="N57">
            <v>0</v>
          </cell>
          <cell r="O57">
            <v>198283.99</v>
          </cell>
          <cell r="P57">
            <v>0</v>
          </cell>
          <cell r="Q57">
            <v>198283.99</v>
          </cell>
          <cell r="R57">
            <v>0</v>
          </cell>
          <cell r="S57">
            <v>198283.99</v>
          </cell>
          <cell r="T57">
            <v>0</v>
          </cell>
          <cell r="U57">
            <v>198283.99</v>
          </cell>
          <cell r="V57">
            <v>0</v>
          </cell>
          <cell r="W57">
            <v>198283.99</v>
          </cell>
          <cell r="X57">
            <v>0</v>
          </cell>
          <cell r="Y57">
            <v>198283.99</v>
          </cell>
          <cell r="Z57">
            <v>0</v>
          </cell>
          <cell r="AA57">
            <v>198283.99</v>
          </cell>
          <cell r="AB57">
            <v>0</v>
          </cell>
        </row>
        <row r="58">
          <cell r="B58" t="str">
            <v>19901040 00</v>
          </cell>
          <cell r="C58">
            <v>0</v>
          </cell>
          <cell r="D58">
            <v>0</v>
          </cell>
          <cell r="E58">
            <v>14940</v>
          </cell>
          <cell r="F58">
            <v>0</v>
          </cell>
          <cell r="G58">
            <v>45262</v>
          </cell>
          <cell r="H58">
            <v>0</v>
          </cell>
          <cell r="I58">
            <v>151564</v>
          </cell>
          <cell r="J58">
            <v>0</v>
          </cell>
          <cell r="K58">
            <v>151564</v>
          </cell>
          <cell r="L58">
            <v>0</v>
          </cell>
          <cell r="M58">
            <v>151564</v>
          </cell>
          <cell r="N58">
            <v>0</v>
          </cell>
          <cell r="O58">
            <v>151564</v>
          </cell>
          <cell r="P58">
            <v>0</v>
          </cell>
          <cell r="Q58">
            <v>151564</v>
          </cell>
          <cell r="R58">
            <v>0</v>
          </cell>
          <cell r="S58">
            <v>151564</v>
          </cell>
          <cell r="T58">
            <v>0</v>
          </cell>
          <cell r="U58">
            <v>151564</v>
          </cell>
          <cell r="V58">
            <v>0</v>
          </cell>
          <cell r="W58">
            <v>151564</v>
          </cell>
          <cell r="X58">
            <v>0</v>
          </cell>
          <cell r="Y58">
            <v>151564</v>
          </cell>
          <cell r="Z58">
            <v>0</v>
          </cell>
          <cell r="AA58">
            <v>151564</v>
          </cell>
          <cell r="AB58">
            <v>0</v>
          </cell>
        </row>
        <row r="59">
          <cell r="B59" t="str">
            <v>19902010 00</v>
          </cell>
          <cell r="C59">
            <v>22453.759999999995</v>
          </cell>
          <cell r="D59">
            <v>0</v>
          </cell>
          <cell r="E59">
            <v>22453.759999999995</v>
          </cell>
          <cell r="F59">
            <v>0</v>
          </cell>
          <cell r="G59">
            <v>22453.759999999995</v>
          </cell>
          <cell r="H59">
            <v>0</v>
          </cell>
          <cell r="I59">
            <v>22453.759999999995</v>
          </cell>
          <cell r="J59">
            <v>0</v>
          </cell>
          <cell r="K59">
            <v>22453.759999999995</v>
          </cell>
          <cell r="L59">
            <v>0</v>
          </cell>
          <cell r="M59">
            <v>22453.759999999995</v>
          </cell>
          <cell r="N59">
            <v>0</v>
          </cell>
          <cell r="O59">
            <v>22453.759999999995</v>
          </cell>
          <cell r="P59">
            <v>0</v>
          </cell>
          <cell r="Q59">
            <v>22453.759999999995</v>
          </cell>
          <cell r="R59">
            <v>0</v>
          </cell>
          <cell r="S59">
            <v>22453.759999999995</v>
          </cell>
          <cell r="T59">
            <v>0</v>
          </cell>
          <cell r="U59">
            <v>22453.759999999995</v>
          </cell>
          <cell r="V59">
            <v>0</v>
          </cell>
          <cell r="W59">
            <v>22453.759999999995</v>
          </cell>
          <cell r="X59">
            <v>0</v>
          </cell>
          <cell r="Y59">
            <v>22453.759999999995</v>
          </cell>
          <cell r="Z59">
            <v>0</v>
          </cell>
          <cell r="AA59">
            <v>22453.759999999995</v>
          </cell>
          <cell r="AB59">
            <v>0</v>
          </cell>
        </row>
        <row r="60">
          <cell r="B60" t="str">
            <v>19902020 00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</row>
        <row r="61">
          <cell r="B61" t="str">
            <v>19902030 00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</row>
        <row r="62">
          <cell r="B62" t="str">
            <v>19902050 00</v>
          </cell>
          <cell r="C62">
            <v>39612.94</v>
          </cell>
          <cell r="D62">
            <v>0</v>
          </cell>
          <cell r="E62">
            <v>32154.300000000003</v>
          </cell>
          <cell r="F62">
            <v>0</v>
          </cell>
          <cell r="G62">
            <v>24423.860000000004</v>
          </cell>
          <cell r="H62">
            <v>0</v>
          </cell>
          <cell r="I62">
            <v>16335.310000000005</v>
          </cell>
          <cell r="J62">
            <v>0</v>
          </cell>
          <cell r="K62">
            <v>16335.310000000005</v>
          </cell>
          <cell r="L62">
            <v>0</v>
          </cell>
          <cell r="M62">
            <v>16335.310000000005</v>
          </cell>
          <cell r="N62">
            <v>0</v>
          </cell>
          <cell r="O62">
            <v>16335.310000000005</v>
          </cell>
          <cell r="P62">
            <v>0</v>
          </cell>
          <cell r="Q62">
            <v>16335.310000000005</v>
          </cell>
          <cell r="R62">
            <v>0</v>
          </cell>
          <cell r="S62">
            <v>16335.310000000005</v>
          </cell>
          <cell r="T62">
            <v>0</v>
          </cell>
          <cell r="U62">
            <v>16335.310000000005</v>
          </cell>
          <cell r="V62">
            <v>0</v>
          </cell>
          <cell r="W62">
            <v>16335.310000000005</v>
          </cell>
          <cell r="X62">
            <v>0</v>
          </cell>
          <cell r="Y62">
            <v>16335.310000000005</v>
          </cell>
          <cell r="Z62">
            <v>0</v>
          </cell>
          <cell r="AA62">
            <v>16335.310000000005</v>
          </cell>
          <cell r="AB62">
            <v>0</v>
          </cell>
        </row>
        <row r="63">
          <cell r="B63" t="str">
            <v>19902990 00</v>
          </cell>
          <cell r="C63">
            <v>0</v>
          </cell>
          <cell r="D63">
            <v>0</v>
          </cell>
          <cell r="E63">
            <v>5253.75</v>
          </cell>
          <cell r="F63">
            <v>0</v>
          </cell>
          <cell r="G63">
            <v>10732.5</v>
          </cell>
          <cell r="H63">
            <v>0</v>
          </cell>
          <cell r="I63">
            <v>14107.5</v>
          </cell>
          <cell r="J63">
            <v>0</v>
          </cell>
          <cell r="K63">
            <v>14107.5</v>
          </cell>
          <cell r="L63">
            <v>0</v>
          </cell>
          <cell r="M63">
            <v>14107.5</v>
          </cell>
          <cell r="N63">
            <v>0</v>
          </cell>
          <cell r="O63">
            <v>14107.5</v>
          </cell>
          <cell r="P63">
            <v>0</v>
          </cell>
          <cell r="Q63">
            <v>14107.5</v>
          </cell>
          <cell r="R63">
            <v>0</v>
          </cell>
          <cell r="S63">
            <v>14107.5</v>
          </cell>
          <cell r="T63">
            <v>0</v>
          </cell>
          <cell r="U63">
            <v>14107.5</v>
          </cell>
          <cell r="V63">
            <v>0</v>
          </cell>
          <cell r="W63">
            <v>14107.5</v>
          </cell>
          <cell r="X63">
            <v>0</v>
          </cell>
          <cell r="Y63">
            <v>14107.5</v>
          </cell>
          <cell r="Z63">
            <v>0</v>
          </cell>
          <cell r="AA63">
            <v>14107.5</v>
          </cell>
          <cell r="AB63">
            <v>0</v>
          </cell>
        </row>
        <row r="64">
          <cell r="B64" t="str">
            <v>19903020 00</v>
          </cell>
          <cell r="C64">
            <v>11510.65</v>
          </cell>
          <cell r="D64">
            <v>0</v>
          </cell>
          <cell r="E64">
            <v>11510.65</v>
          </cell>
          <cell r="F64">
            <v>0</v>
          </cell>
          <cell r="G64">
            <v>11510.65</v>
          </cell>
          <cell r="H64">
            <v>0</v>
          </cell>
          <cell r="I64">
            <v>11510.65</v>
          </cell>
          <cell r="J64">
            <v>0</v>
          </cell>
          <cell r="K64">
            <v>11510.65</v>
          </cell>
          <cell r="L64">
            <v>0</v>
          </cell>
          <cell r="M64">
            <v>11510.65</v>
          </cell>
          <cell r="N64">
            <v>0</v>
          </cell>
          <cell r="O64">
            <v>11510.65</v>
          </cell>
          <cell r="P64">
            <v>0</v>
          </cell>
          <cell r="Q64">
            <v>11510.65</v>
          </cell>
          <cell r="R64">
            <v>0</v>
          </cell>
          <cell r="S64">
            <v>11510.65</v>
          </cell>
          <cell r="T64">
            <v>0</v>
          </cell>
          <cell r="U64">
            <v>11510.65</v>
          </cell>
          <cell r="V64">
            <v>0</v>
          </cell>
          <cell r="W64">
            <v>11510.65</v>
          </cell>
          <cell r="X64">
            <v>0</v>
          </cell>
          <cell r="Y64">
            <v>11510.65</v>
          </cell>
          <cell r="Z64">
            <v>0</v>
          </cell>
          <cell r="AA64">
            <v>11510.65</v>
          </cell>
          <cell r="AB64">
            <v>0</v>
          </cell>
        </row>
        <row r="65">
          <cell r="B65" t="str">
            <v>19903990 00</v>
          </cell>
          <cell r="C65">
            <v>5000</v>
          </cell>
          <cell r="D65">
            <v>0</v>
          </cell>
          <cell r="E65">
            <v>5000</v>
          </cell>
          <cell r="F65">
            <v>0</v>
          </cell>
          <cell r="G65">
            <v>5000</v>
          </cell>
          <cell r="H65">
            <v>0</v>
          </cell>
          <cell r="I65">
            <v>5000</v>
          </cell>
          <cell r="J65">
            <v>0</v>
          </cell>
          <cell r="K65">
            <v>5000</v>
          </cell>
          <cell r="L65">
            <v>0</v>
          </cell>
          <cell r="M65">
            <v>5000</v>
          </cell>
          <cell r="N65">
            <v>0</v>
          </cell>
          <cell r="O65">
            <v>5000</v>
          </cell>
          <cell r="P65">
            <v>0</v>
          </cell>
          <cell r="Q65">
            <v>5000</v>
          </cell>
          <cell r="R65">
            <v>0</v>
          </cell>
          <cell r="S65">
            <v>5000</v>
          </cell>
          <cell r="T65">
            <v>0</v>
          </cell>
          <cell r="U65">
            <v>5000</v>
          </cell>
          <cell r="V65">
            <v>0</v>
          </cell>
          <cell r="W65">
            <v>5000</v>
          </cell>
          <cell r="X65">
            <v>0</v>
          </cell>
          <cell r="Y65">
            <v>5000</v>
          </cell>
          <cell r="Z65">
            <v>0</v>
          </cell>
          <cell r="AA65">
            <v>5000</v>
          </cell>
          <cell r="AB65">
            <v>0</v>
          </cell>
        </row>
        <row r="66">
          <cell r="B66" t="str">
            <v>19999990 00</v>
          </cell>
          <cell r="C66">
            <v>17952.11</v>
          </cell>
          <cell r="D66">
            <v>0</v>
          </cell>
          <cell r="E66">
            <v>17952.11</v>
          </cell>
          <cell r="F66">
            <v>0</v>
          </cell>
          <cell r="G66">
            <v>17952.11</v>
          </cell>
          <cell r="H66">
            <v>0</v>
          </cell>
          <cell r="I66">
            <v>17952.11</v>
          </cell>
          <cell r="J66">
            <v>0</v>
          </cell>
          <cell r="K66">
            <v>17952.11</v>
          </cell>
          <cell r="L66">
            <v>0</v>
          </cell>
          <cell r="M66">
            <v>17952.11</v>
          </cell>
          <cell r="N66">
            <v>0</v>
          </cell>
          <cell r="O66">
            <v>17952.11</v>
          </cell>
          <cell r="P66">
            <v>0</v>
          </cell>
          <cell r="Q66">
            <v>17952.11</v>
          </cell>
          <cell r="R66">
            <v>0</v>
          </cell>
          <cell r="S66">
            <v>17952.11</v>
          </cell>
          <cell r="T66">
            <v>0</v>
          </cell>
          <cell r="U66">
            <v>17952.11</v>
          </cell>
          <cell r="V66">
            <v>0</v>
          </cell>
          <cell r="W66">
            <v>17952.11</v>
          </cell>
          <cell r="X66">
            <v>0</v>
          </cell>
          <cell r="Y66">
            <v>17952.11</v>
          </cell>
          <cell r="Z66">
            <v>0</v>
          </cell>
          <cell r="AA66">
            <v>17952.11</v>
          </cell>
          <cell r="AB66">
            <v>0</v>
          </cell>
        </row>
        <row r="67">
          <cell r="B67" t="str">
            <v>20101010 00</v>
          </cell>
          <cell r="C67">
            <v>0</v>
          </cell>
          <cell r="D67">
            <v>589691.80000000005</v>
          </cell>
          <cell r="E67">
            <v>0</v>
          </cell>
          <cell r="F67">
            <v>589691.80000000005</v>
          </cell>
          <cell r="G67">
            <v>0</v>
          </cell>
          <cell r="H67">
            <v>589691.80000000005</v>
          </cell>
          <cell r="I67">
            <v>0</v>
          </cell>
          <cell r="J67">
            <v>589691.80000000005</v>
          </cell>
          <cell r="K67">
            <v>0</v>
          </cell>
          <cell r="L67">
            <v>589691.80000000005</v>
          </cell>
          <cell r="M67">
            <v>0</v>
          </cell>
          <cell r="N67">
            <v>589691.80000000005</v>
          </cell>
          <cell r="O67">
            <v>0</v>
          </cell>
          <cell r="P67">
            <v>589691.80000000005</v>
          </cell>
          <cell r="Q67">
            <v>0</v>
          </cell>
          <cell r="R67">
            <v>589691.80000000005</v>
          </cell>
          <cell r="S67">
            <v>0</v>
          </cell>
          <cell r="T67">
            <v>589691.80000000005</v>
          </cell>
          <cell r="U67">
            <v>0</v>
          </cell>
          <cell r="V67">
            <v>589691.80000000005</v>
          </cell>
          <cell r="W67">
            <v>0</v>
          </cell>
          <cell r="X67">
            <v>589691.80000000005</v>
          </cell>
          <cell r="Y67">
            <v>0</v>
          </cell>
          <cell r="Z67">
            <v>589691.80000000005</v>
          </cell>
          <cell r="AA67">
            <v>0</v>
          </cell>
          <cell r="AB67">
            <v>589691.80000000005</v>
          </cell>
        </row>
        <row r="68">
          <cell r="B68" t="str">
            <v>20101020 00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5.8207660913467407E-11</v>
          </cell>
          <cell r="I68">
            <v>0</v>
          </cell>
          <cell r="J68">
            <v>1.1641532182693481E-10</v>
          </cell>
          <cell r="K68">
            <v>0</v>
          </cell>
          <cell r="L68">
            <v>1.1641532182693481E-10</v>
          </cell>
          <cell r="M68">
            <v>0</v>
          </cell>
          <cell r="N68">
            <v>1.1641532182693481E-10</v>
          </cell>
          <cell r="O68">
            <v>0</v>
          </cell>
          <cell r="P68">
            <v>1.1641532182693481E-10</v>
          </cell>
          <cell r="Q68">
            <v>0</v>
          </cell>
          <cell r="R68">
            <v>1.1641532182693481E-10</v>
          </cell>
          <cell r="S68">
            <v>0</v>
          </cell>
          <cell r="T68">
            <v>1.1641532182693481E-10</v>
          </cell>
          <cell r="U68">
            <v>0</v>
          </cell>
          <cell r="V68">
            <v>1.1641532182693481E-10</v>
          </cell>
          <cell r="W68">
            <v>0</v>
          </cell>
          <cell r="X68">
            <v>1.1641532182693481E-10</v>
          </cell>
          <cell r="Y68">
            <v>0</v>
          </cell>
          <cell r="Z68">
            <v>1.1641532182693481E-10</v>
          </cell>
          <cell r="AA68">
            <v>0</v>
          </cell>
          <cell r="AB68">
            <v>1.1641532182693481E-10</v>
          </cell>
        </row>
        <row r="69">
          <cell r="B69" t="str">
            <v>20201010 00</v>
          </cell>
          <cell r="C69">
            <v>0</v>
          </cell>
          <cell r="D69">
            <v>263012.27999999997</v>
          </cell>
          <cell r="E69">
            <v>0</v>
          </cell>
          <cell r="F69">
            <v>186916.78999999998</v>
          </cell>
          <cell r="G69">
            <v>0</v>
          </cell>
          <cell r="H69">
            <v>193771.72999999998</v>
          </cell>
          <cell r="I69">
            <v>0</v>
          </cell>
          <cell r="J69">
            <v>198709.60999999996</v>
          </cell>
          <cell r="K69">
            <v>0</v>
          </cell>
          <cell r="L69">
            <v>198709.60999999996</v>
          </cell>
          <cell r="M69">
            <v>0</v>
          </cell>
          <cell r="N69">
            <v>198709.60999999996</v>
          </cell>
          <cell r="O69">
            <v>0</v>
          </cell>
          <cell r="P69">
            <v>198709.60999999996</v>
          </cell>
          <cell r="Q69">
            <v>0</v>
          </cell>
          <cell r="R69">
            <v>198709.60999999996</v>
          </cell>
          <cell r="S69">
            <v>0</v>
          </cell>
          <cell r="T69">
            <v>198709.60999999996</v>
          </cell>
          <cell r="U69">
            <v>0</v>
          </cell>
          <cell r="V69">
            <v>198709.60999999996</v>
          </cell>
          <cell r="W69">
            <v>0</v>
          </cell>
          <cell r="X69">
            <v>198709.60999999996</v>
          </cell>
          <cell r="Y69">
            <v>0</v>
          </cell>
          <cell r="Z69">
            <v>198709.60999999996</v>
          </cell>
          <cell r="AA69">
            <v>0</v>
          </cell>
          <cell r="AB69">
            <v>198709.60999999996</v>
          </cell>
        </row>
        <row r="70">
          <cell r="B70" t="str">
            <v>20201020 00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5.8207660913467407E-11</v>
          </cell>
          <cell r="J70">
            <v>0</v>
          </cell>
          <cell r="K70">
            <v>5.8207660913467407E-11</v>
          </cell>
          <cell r="L70">
            <v>0</v>
          </cell>
          <cell r="M70">
            <v>5.8207660913467407E-11</v>
          </cell>
          <cell r="N70">
            <v>0</v>
          </cell>
          <cell r="O70">
            <v>5.8207660913467407E-11</v>
          </cell>
          <cell r="P70">
            <v>0</v>
          </cell>
          <cell r="Q70">
            <v>5.8207660913467407E-11</v>
          </cell>
          <cell r="R70">
            <v>0</v>
          </cell>
          <cell r="S70">
            <v>5.8207660913467407E-11</v>
          </cell>
          <cell r="T70">
            <v>0</v>
          </cell>
          <cell r="U70">
            <v>5.8207660913467407E-11</v>
          </cell>
          <cell r="V70">
            <v>0</v>
          </cell>
          <cell r="W70">
            <v>5.8207660913467407E-11</v>
          </cell>
          <cell r="X70">
            <v>0</v>
          </cell>
          <cell r="Y70">
            <v>5.8207660913467407E-11</v>
          </cell>
          <cell r="Z70">
            <v>0</v>
          </cell>
          <cell r="AA70">
            <v>5.8207660913467407E-11</v>
          </cell>
          <cell r="AB70">
            <v>0</v>
          </cell>
        </row>
        <row r="71">
          <cell r="B71" t="str">
            <v>20201030 00</v>
          </cell>
          <cell r="C71">
            <v>0</v>
          </cell>
          <cell r="D71">
            <v>2921</v>
          </cell>
          <cell r="E71">
            <v>7.2759576141834259E-12</v>
          </cell>
          <cell r="F71">
            <v>0</v>
          </cell>
          <cell r="G71">
            <v>0</v>
          </cell>
          <cell r="H71">
            <v>1799.9999999999927</v>
          </cell>
          <cell r="I71">
            <v>1.4551915228366852E-11</v>
          </cell>
          <cell r="J71">
            <v>0</v>
          </cell>
          <cell r="K71">
            <v>1.4551915228366852E-11</v>
          </cell>
          <cell r="L71">
            <v>0</v>
          </cell>
          <cell r="M71">
            <v>1.4551915228366852E-11</v>
          </cell>
          <cell r="N71">
            <v>0</v>
          </cell>
          <cell r="O71">
            <v>1.4551915228366852E-11</v>
          </cell>
          <cell r="P71">
            <v>0</v>
          </cell>
          <cell r="Q71">
            <v>1.4551915228366852E-11</v>
          </cell>
          <cell r="R71">
            <v>0</v>
          </cell>
          <cell r="S71">
            <v>1.4551915228366852E-11</v>
          </cell>
          <cell r="T71">
            <v>0</v>
          </cell>
          <cell r="U71">
            <v>1.4551915228366852E-11</v>
          </cell>
          <cell r="V71">
            <v>0</v>
          </cell>
          <cell r="W71">
            <v>1.4551915228366852E-11</v>
          </cell>
          <cell r="X71">
            <v>0</v>
          </cell>
          <cell r="Y71">
            <v>1.4551915228366852E-11</v>
          </cell>
          <cell r="Z71">
            <v>0</v>
          </cell>
          <cell r="AA71">
            <v>1.4551915228366852E-11</v>
          </cell>
          <cell r="AB71">
            <v>0</v>
          </cell>
        </row>
        <row r="72">
          <cell r="B72" t="str">
            <v>20201040 00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1700</v>
          </cell>
          <cell r="K72">
            <v>0</v>
          </cell>
          <cell r="L72">
            <v>1700</v>
          </cell>
          <cell r="M72">
            <v>0</v>
          </cell>
          <cell r="N72">
            <v>1700</v>
          </cell>
          <cell r="O72">
            <v>0</v>
          </cell>
          <cell r="P72">
            <v>1700</v>
          </cell>
          <cell r="Q72">
            <v>0</v>
          </cell>
          <cell r="R72">
            <v>1700</v>
          </cell>
          <cell r="S72">
            <v>0</v>
          </cell>
          <cell r="T72">
            <v>1700</v>
          </cell>
          <cell r="U72">
            <v>0</v>
          </cell>
          <cell r="V72">
            <v>1700</v>
          </cell>
          <cell r="W72">
            <v>0</v>
          </cell>
          <cell r="X72">
            <v>1700</v>
          </cell>
          <cell r="Y72">
            <v>0</v>
          </cell>
          <cell r="Z72">
            <v>1700</v>
          </cell>
          <cell r="AA72">
            <v>0</v>
          </cell>
          <cell r="AB72">
            <v>1700</v>
          </cell>
        </row>
        <row r="73">
          <cell r="B73" t="str">
            <v>20201050 00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B74" t="str">
            <v>20201060 00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</row>
        <row r="75">
          <cell r="B75" t="str">
            <v>20401010 00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B76" t="str">
            <v>20401040 00</v>
          </cell>
          <cell r="C76">
            <v>0</v>
          </cell>
          <cell r="D76">
            <v>65771.63</v>
          </cell>
          <cell r="E76">
            <v>0</v>
          </cell>
          <cell r="F76">
            <v>65771.63</v>
          </cell>
          <cell r="G76">
            <v>0</v>
          </cell>
          <cell r="H76">
            <v>65771.63</v>
          </cell>
          <cell r="I76">
            <v>0</v>
          </cell>
          <cell r="J76">
            <v>65771.63</v>
          </cell>
          <cell r="K76">
            <v>0</v>
          </cell>
          <cell r="L76">
            <v>65771.63</v>
          </cell>
          <cell r="M76">
            <v>0</v>
          </cell>
          <cell r="N76">
            <v>65771.63</v>
          </cell>
          <cell r="O76">
            <v>0</v>
          </cell>
          <cell r="P76">
            <v>65771.63</v>
          </cell>
          <cell r="Q76">
            <v>0</v>
          </cell>
          <cell r="R76">
            <v>65771.63</v>
          </cell>
          <cell r="S76">
            <v>0</v>
          </cell>
          <cell r="T76">
            <v>65771.63</v>
          </cell>
          <cell r="U76">
            <v>0</v>
          </cell>
          <cell r="V76">
            <v>65771.63</v>
          </cell>
          <cell r="W76">
            <v>0</v>
          </cell>
          <cell r="X76">
            <v>65771.63</v>
          </cell>
          <cell r="Y76">
            <v>0</v>
          </cell>
          <cell r="Z76">
            <v>65771.63</v>
          </cell>
          <cell r="AA76">
            <v>0</v>
          </cell>
          <cell r="AB76">
            <v>65771.63</v>
          </cell>
        </row>
        <row r="77">
          <cell r="B77" t="str">
            <v>29999990 00</v>
          </cell>
          <cell r="C77">
            <v>0</v>
          </cell>
          <cell r="D77">
            <v>275</v>
          </cell>
          <cell r="E77">
            <v>0</v>
          </cell>
          <cell r="F77">
            <v>53527.299999999988</v>
          </cell>
          <cell r="G77">
            <v>0</v>
          </cell>
          <cell r="H77">
            <v>275</v>
          </cell>
          <cell r="I77">
            <v>0</v>
          </cell>
          <cell r="J77">
            <v>274.99999999998545</v>
          </cell>
          <cell r="K77">
            <v>0</v>
          </cell>
          <cell r="L77">
            <v>274.99999999998545</v>
          </cell>
          <cell r="M77">
            <v>0</v>
          </cell>
          <cell r="N77">
            <v>274.99999999998545</v>
          </cell>
          <cell r="O77">
            <v>0</v>
          </cell>
          <cell r="P77">
            <v>274.99999999998545</v>
          </cell>
          <cell r="Q77">
            <v>0</v>
          </cell>
          <cell r="R77">
            <v>274.99999999998545</v>
          </cell>
          <cell r="S77">
            <v>0</v>
          </cell>
          <cell r="T77">
            <v>274.99999999998545</v>
          </cell>
          <cell r="U77">
            <v>0</v>
          </cell>
          <cell r="V77">
            <v>274.99999999998545</v>
          </cell>
          <cell r="W77">
            <v>0</v>
          </cell>
          <cell r="X77">
            <v>274.99999999998545</v>
          </cell>
          <cell r="Y77">
            <v>0</v>
          </cell>
          <cell r="Z77">
            <v>274.99999999998545</v>
          </cell>
          <cell r="AA77">
            <v>0</v>
          </cell>
          <cell r="AB77">
            <v>274.99999999998545</v>
          </cell>
        </row>
        <row r="78">
          <cell r="B78" t="str">
            <v>30101010 00</v>
          </cell>
          <cell r="C78">
            <v>0</v>
          </cell>
          <cell r="D78">
            <v>28892448.899999999</v>
          </cell>
          <cell r="E78">
            <v>0</v>
          </cell>
          <cell r="F78">
            <v>29148759.349999998</v>
          </cell>
          <cell r="G78">
            <v>0</v>
          </cell>
          <cell r="H78">
            <v>29159126.679999996</v>
          </cell>
          <cell r="I78">
            <v>0</v>
          </cell>
          <cell r="J78">
            <v>29190438.419999998</v>
          </cell>
          <cell r="K78">
            <v>0</v>
          </cell>
          <cell r="L78">
            <v>29190438.419999998</v>
          </cell>
          <cell r="M78">
            <v>0</v>
          </cell>
          <cell r="N78">
            <v>29190438.419999998</v>
          </cell>
          <cell r="O78">
            <v>0</v>
          </cell>
          <cell r="P78">
            <v>29190438.419999998</v>
          </cell>
          <cell r="Q78">
            <v>0</v>
          </cell>
          <cell r="R78">
            <v>29190438.419999998</v>
          </cell>
          <cell r="S78">
            <v>0</v>
          </cell>
          <cell r="T78">
            <v>29190438.419999998</v>
          </cell>
          <cell r="U78">
            <v>0</v>
          </cell>
          <cell r="V78">
            <v>29190438.419999998</v>
          </cell>
          <cell r="W78">
            <v>0</v>
          </cell>
          <cell r="X78">
            <v>29190438.419999998</v>
          </cell>
          <cell r="Y78">
            <v>0</v>
          </cell>
          <cell r="Z78">
            <v>29190438.419999998</v>
          </cell>
          <cell r="AA78">
            <v>0</v>
          </cell>
          <cell r="AB78">
            <v>29190438.419999998</v>
          </cell>
        </row>
        <row r="79">
          <cell r="B79" t="str">
            <v>40201010 00</v>
          </cell>
          <cell r="C79">
            <v>0</v>
          </cell>
          <cell r="D79">
            <v>0</v>
          </cell>
          <cell r="E79">
            <v>0</v>
          </cell>
          <cell r="F79">
            <v>126570</v>
          </cell>
          <cell r="G79">
            <v>0</v>
          </cell>
          <cell r="H79">
            <v>235390</v>
          </cell>
          <cell r="I79">
            <v>0</v>
          </cell>
          <cell r="J79">
            <v>370240</v>
          </cell>
          <cell r="K79">
            <v>0</v>
          </cell>
          <cell r="L79">
            <v>370240</v>
          </cell>
          <cell r="M79">
            <v>0</v>
          </cell>
          <cell r="N79">
            <v>370240</v>
          </cell>
          <cell r="O79">
            <v>0</v>
          </cell>
          <cell r="P79">
            <v>370240</v>
          </cell>
          <cell r="Q79">
            <v>0</v>
          </cell>
          <cell r="R79">
            <v>370240</v>
          </cell>
          <cell r="S79">
            <v>0</v>
          </cell>
          <cell r="T79">
            <v>370240</v>
          </cell>
          <cell r="U79">
            <v>0</v>
          </cell>
          <cell r="V79">
            <v>370240</v>
          </cell>
          <cell r="W79">
            <v>0</v>
          </cell>
          <cell r="X79">
            <v>370240</v>
          </cell>
          <cell r="Y79">
            <v>0</v>
          </cell>
          <cell r="Z79">
            <v>370240</v>
          </cell>
          <cell r="AA79">
            <v>0</v>
          </cell>
          <cell r="AB79">
            <v>370240</v>
          </cell>
        </row>
        <row r="80">
          <cell r="B80" t="str">
            <v>40201070 01</v>
          </cell>
          <cell r="C80">
            <v>0</v>
          </cell>
          <cell r="D80">
            <v>0</v>
          </cell>
          <cell r="E80">
            <v>0</v>
          </cell>
          <cell r="F80">
            <v>266040</v>
          </cell>
          <cell r="G80">
            <v>0</v>
          </cell>
          <cell r="H80">
            <v>558590</v>
          </cell>
          <cell r="I80">
            <v>0</v>
          </cell>
          <cell r="J80">
            <v>840190</v>
          </cell>
          <cell r="K80">
            <v>0</v>
          </cell>
          <cell r="L80">
            <v>840190</v>
          </cell>
          <cell r="M80">
            <v>0</v>
          </cell>
          <cell r="N80">
            <v>840190</v>
          </cell>
          <cell r="O80">
            <v>0</v>
          </cell>
          <cell r="P80">
            <v>840190</v>
          </cell>
          <cell r="Q80">
            <v>0</v>
          </cell>
          <cell r="R80">
            <v>840190</v>
          </cell>
          <cell r="S80">
            <v>0</v>
          </cell>
          <cell r="T80">
            <v>840190</v>
          </cell>
          <cell r="U80">
            <v>0</v>
          </cell>
          <cell r="V80">
            <v>840190</v>
          </cell>
          <cell r="W80">
            <v>0</v>
          </cell>
          <cell r="X80">
            <v>840190</v>
          </cell>
          <cell r="Y80">
            <v>0</v>
          </cell>
          <cell r="Z80">
            <v>840190</v>
          </cell>
          <cell r="AA80">
            <v>0</v>
          </cell>
          <cell r="AB80">
            <v>840190</v>
          </cell>
        </row>
        <row r="81">
          <cell r="B81" t="str">
            <v>40201040 00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</row>
        <row r="82">
          <cell r="B82" t="str">
            <v>40201090 00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B83" t="str">
            <v>40201100 00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</row>
        <row r="84">
          <cell r="B84" t="str">
            <v>40201110 00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</row>
        <row r="85">
          <cell r="B85" t="str">
            <v>40201110 99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</row>
        <row r="86">
          <cell r="B86" t="str">
            <v>40201130 00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</row>
        <row r="87">
          <cell r="B87" t="str">
            <v>40201130 01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</row>
        <row r="88">
          <cell r="B88" t="str">
            <v>40201130 02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</row>
        <row r="89">
          <cell r="B89" t="str">
            <v>40201130 03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</row>
        <row r="90">
          <cell r="B90" t="str">
            <v>40201130 04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</row>
        <row r="91">
          <cell r="B91" t="str">
            <v>40201130 07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</row>
        <row r="92">
          <cell r="B92" t="str">
            <v>40201130 11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</row>
        <row r="93">
          <cell r="B93" t="str">
            <v>40201130 99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</row>
        <row r="94">
          <cell r="B94" t="str">
            <v>40609990 00</v>
          </cell>
          <cell r="C94">
            <v>0</v>
          </cell>
          <cell r="D94">
            <v>0</v>
          </cell>
          <cell r="E94">
            <v>0</v>
          </cell>
          <cell r="F94">
            <v>2000</v>
          </cell>
          <cell r="G94">
            <v>0</v>
          </cell>
          <cell r="H94">
            <v>2126</v>
          </cell>
          <cell r="I94">
            <v>0</v>
          </cell>
          <cell r="J94">
            <v>5126</v>
          </cell>
          <cell r="K94">
            <v>0</v>
          </cell>
          <cell r="L94">
            <v>5126</v>
          </cell>
          <cell r="M94">
            <v>0</v>
          </cell>
          <cell r="N94">
            <v>5126</v>
          </cell>
          <cell r="O94">
            <v>0</v>
          </cell>
          <cell r="P94">
            <v>5126</v>
          </cell>
          <cell r="Q94">
            <v>0</v>
          </cell>
          <cell r="R94">
            <v>5126</v>
          </cell>
          <cell r="S94">
            <v>0</v>
          </cell>
          <cell r="T94">
            <v>5126</v>
          </cell>
          <cell r="U94">
            <v>0</v>
          </cell>
          <cell r="V94">
            <v>5126</v>
          </cell>
          <cell r="W94">
            <v>0</v>
          </cell>
          <cell r="X94">
            <v>5126</v>
          </cell>
          <cell r="Y94">
            <v>0</v>
          </cell>
          <cell r="Z94">
            <v>5126</v>
          </cell>
          <cell r="AA94">
            <v>0</v>
          </cell>
          <cell r="AB94">
            <v>5126</v>
          </cell>
        </row>
        <row r="95">
          <cell r="B95" t="str">
            <v>40201990 00</v>
          </cell>
          <cell r="C95">
            <v>0</v>
          </cell>
          <cell r="D95">
            <v>0</v>
          </cell>
          <cell r="E95">
            <v>0</v>
          </cell>
          <cell r="F95">
            <v>8705</v>
          </cell>
          <cell r="G95">
            <v>0</v>
          </cell>
          <cell r="H95">
            <v>36635</v>
          </cell>
          <cell r="I95">
            <v>0</v>
          </cell>
          <cell r="J95">
            <v>55945</v>
          </cell>
          <cell r="K95">
            <v>0</v>
          </cell>
          <cell r="L95">
            <v>55945</v>
          </cell>
          <cell r="M95">
            <v>0</v>
          </cell>
          <cell r="N95">
            <v>55945</v>
          </cell>
          <cell r="O95">
            <v>0</v>
          </cell>
          <cell r="P95">
            <v>55945</v>
          </cell>
          <cell r="Q95">
            <v>0</v>
          </cell>
          <cell r="R95">
            <v>55945</v>
          </cell>
          <cell r="S95">
            <v>0</v>
          </cell>
          <cell r="T95">
            <v>55945</v>
          </cell>
          <cell r="U95">
            <v>0</v>
          </cell>
          <cell r="V95">
            <v>55945</v>
          </cell>
          <cell r="W95">
            <v>0</v>
          </cell>
          <cell r="X95">
            <v>55945</v>
          </cell>
          <cell r="Y95">
            <v>0</v>
          </cell>
          <cell r="Z95">
            <v>55945</v>
          </cell>
          <cell r="AA95">
            <v>0</v>
          </cell>
          <cell r="AB95">
            <v>55945</v>
          </cell>
        </row>
        <row r="96">
          <cell r="B96" t="str">
            <v>40201990 06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</row>
        <row r="97">
          <cell r="B97" t="str">
            <v>40202040 00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</row>
        <row r="98">
          <cell r="B98" t="str">
            <v>40202150 00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</row>
        <row r="99">
          <cell r="B99" t="str">
            <v>40202160 00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</row>
        <row r="100">
          <cell r="B100" t="str">
            <v>40202210 00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</row>
        <row r="101">
          <cell r="B101" t="str">
            <v>40202990 00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</row>
        <row r="102">
          <cell r="B102" t="str">
            <v>40301010 00</v>
          </cell>
          <cell r="C102">
            <v>0</v>
          </cell>
          <cell r="D102">
            <v>0</v>
          </cell>
          <cell r="E102">
            <v>0</v>
          </cell>
          <cell r="F102">
            <v>1695000</v>
          </cell>
          <cell r="G102">
            <v>0</v>
          </cell>
          <cell r="H102">
            <v>3990988.82</v>
          </cell>
          <cell r="I102">
            <v>0</v>
          </cell>
          <cell r="J102">
            <v>6367085.7000000002</v>
          </cell>
          <cell r="K102">
            <v>0</v>
          </cell>
          <cell r="L102">
            <v>6367085.7000000002</v>
          </cell>
          <cell r="M102">
            <v>0</v>
          </cell>
          <cell r="N102">
            <v>6367085.7000000002</v>
          </cell>
          <cell r="O102">
            <v>0</v>
          </cell>
          <cell r="P102">
            <v>6367085.7000000002</v>
          </cell>
          <cell r="Q102">
            <v>0</v>
          </cell>
          <cell r="R102">
            <v>6367085.7000000002</v>
          </cell>
          <cell r="S102">
            <v>0</v>
          </cell>
          <cell r="T102">
            <v>6367085.7000000002</v>
          </cell>
          <cell r="U102">
            <v>0</v>
          </cell>
          <cell r="V102">
            <v>6367085.7000000002</v>
          </cell>
          <cell r="W102">
            <v>0</v>
          </cell>
          <cell r="X102">
            <v>6367085.7000000002</v>
          </cell>
          <cell r="Y102">
            <v>0</v>
          </cell>
          <cell r="Z102">
            <v>6367085.7000000002</v>
          </cell>
          <cell r="AA102">
            <v>0</v>
          </cell>
          <cell r="AB102">
            <v>6367085.7000000002</v>
          </cell>
        </row>
        <row r="103">
          <cell r="B103" t="str">
            <v>40301020 00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</row>
        <row r="104">
          <cell r="B104" t="str">
            <v>40301050 00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</row>
        <row r="105">
          <cell r="B105" t="str">
            <v>50101010 00</v>
          </cell>
          <cell r="C105">
            <v>0</v>
          </cell>
          <cell r="D105">
            <v>0</v>
          </cell>
          <cell r="E105">
            <v>1023192</v>
          </cell>
          <cell r="F105">
            <v>0</v>
          </cell>
          <cell r="G105">
            <v>2063253.9999999998</v>
          </cell>
          <cell r="H105">
            <v>0</v>
          </cell>
          <cell r="I105">
            <v>3354272</v>
          </cell>
          <cell r="J105">
            <v>0</v>
          </cell>
          <cell r="K105">
            <v>3354272</v>
          </cell>
          <cell r="L105">
            <v>0</v>
          </cell>
          <cell r="M105">
            <v>3354272</v>
          </cell>
          <cell r="N105">
            <v>0</v>
          </cell>
          <cell r="O105">
            <v>3354272</v>
          </cell>
          <cell r="P105">
            <v>0</v>
          </cell>
          <cell r="Q105">
            <v>3354272</v>
          </cell>
          <cell r="R105">
            <v>0</v>
          </cell>
          <cell r="S105">
            <v>3354272</v>
          </cell>
          <cell r="T105">
            <v>0</v>
          </cell>
          <cell r="U105">
            <v>3354272</v>
          </cell>
          <cell r="V105">
            <v>0</v>
          </cell>
          <cell r="W105">
            <v>3354272</v>
          </cell>
          <cell r="X105">
            <v>0</v>
          </cell>
          <cell r="Y105">
            <v>3354272</v>
          </cell>
          <cell r="Z105">
            <v>0</v>
          </cell>
          <cell r="AA105">
            <v>3354272</v>
          </cell>
          <cell r="AB105">
            <v>0</v>
          </cell>
        </row>
        <row r="106">
          <cell r="B106" t="str">
            <v>50102010 00</v>
          </cell>
          <cell r="C106">
            <v>0</v>
          </cell>
          <cell r="D106">
            <v>0</v>
          </cell>
          <cell r="E106">
            <v>72000</v>
          </cell>
          <cell r="F106">
            <v>0</v>
          </cell>
          <cell r="G106">
            <v>144000</v>
          </cell>
          <cell r="H106">
            <v>0</v>
          </cell>
          <cell r="I106">
            <v>218000</v>
          </cell>
          <cell r="J106">
            <v>0</v>
          </cell>
          <cell r="K106">
            <v>218000</v>
          </cell>
          <cell r="L106">
            <v>0</v>
          </cell>
          <cell r="M106">
            <v>218000</v>
          </cell>
          <cell r="N106">
            <v>0</v>
          </cell>
          <cell r="O106">
            <v>218000</v>
          </cell>
          <cell r="P106">
            <v>0</v>
          </cell>
          <cell r="Q106">
            <v>218000</v>
          </cell>
          <cell r="R106">
            <v>0</v>
          </cell>
          <cell r="S106">
            <v>218000</v>
          </cell>
          <cell r="T106">
            <v>0</v>
          </cell>
          <cell r="U106">
            <v>218000</v>
          </cell>
          <cell r="V106">
            <v>0</v>
          </cell>
          <cell r="W106">
            <v>218000</v>
          </cell>
          <cell r="X106">
            <v>0</v>
          </cell>
          <cell r="Y106">
            <v>218000</v>
          </cell>
          <cell r="Z106">
            <v>0</v>
          </cell>
          <cell r="AA106">
            <v>218000</v>
          </cell>
          <cell r="AB106">
            <v>0</v>
          </cell>
        </row>
        <row r="107">
          <cell r="B107" t="str">
            <v>50102020 00</v>
          </cell>
          <cell r="C107">
            <v>0</v>
          </cell>
          <cell r="D107">
            <v>0</v>
          </cell>
          <cell r="E107">
            <v>10000</v>
          </cell>
          <cell r="F107">
            <v>0</v>
          </cell>
          <cell r="G107">
            <v>30000</v>
          </cell>
          <cell r="H107">
            <v>0</v>
          </cell>
          <cell r="I107">
            <v>62000</v>
          </cell>
          <cell r="J107">
            <v>0</v>
          </cell>
          <cell r="K107">
            <v>62000</v>
          </cell>
          <cell r="L107">
            <v>0</v>
          </cell>
          <cell r="M107">
            <v>62000</v>
          </cell>
          <cell r="N107">
            <v>0</v>
          </cell>
          <cell r="O107">
            <v>62000</v>
          </cell>
          <cell r="P107">
            <v>0</v>
          </cell>
          <cell r="Q107">
            <v>62000</v>
          </cell>
          <cell r="R107">
            <v>0</v>
          </cell>
          <cell r="S107">
            <v>62000</v>
          </cell>
          <cell r="T107">
            <v>0</v>
          </cell>
          <cell r="U107">
            <v>62000</v>
          </cell>
          <cell r="V107">
            <v>0</v>
          </cell>
          <cell r="W107">
            <v>62000</v>
          </cell>
          <cell r="X107">
            <v>0</v>
          </cell>
          <cell r="Y107">
            <v>62000</v>
          </cell>
          <cell r="Z107">
            <v>0</v>
          </cell>
          <cell r="AA107">
            <v>62000</v>
          </cell>
          <cell r="AB107">
            <v>0</v>
          </cell>
        </row>
        <row r="108">
          <cell r="B108" t="str">
            <v>50102030 00</v>
          </cell>
          <cell r="C108">
            <v>0</v>
          </cell>
          <cell r="D108">
            <v>0</v>
          </cell>
          <cell r="E108">
            <v>10000</v>
          </cell>
          <cell r="F108">
            <v>0</v>
          </cell>
          <cell r="G108">
            <v>30000</v>
          </cell>
          <cell r="H108">
            <v>0</v>
          </cell>
          <cell r="I108">
            <v>62000</v>
          </cell>
          <cell r="J108">
            <v>0</v>
          </cell>
          <cell r="K108">
            <v>62000</v>
          </cell>
          <cell r="L108">
            <v>0</v>
          </cell>
          <cell r="M108">
            <v>62000</v>
          </cell>
          <cell r="N108">
            <v>0</v>
          </cell>
          <cell r="O108">
            <v>62000</v>
          </cell>
          <cell r="P108">
            <v>0</v>
          </cell>
          <cell r="Q108">
            <v>62000</v>
          </cell>
          <cell r="R108">
            <v>0</v>
          </cell>
          <cell r="S108">
            <v>62000</v>
          </cell>
          <cell r="T108">
            <v>0</v>
          </cell>
          <cell r="U108">
            <v>62000</v>
          </cell>
          <cell r="V108">
            <v>0</v>
          </cell>
          <cell r="W108">
            <v>62000</v>
          </cell>
          <cell r="X108">
            <v>0</v>
          </cell>
          <cell r="Y108">
            <v>62000</v>
          </cell>
          <cell r="Z108">
            <v>0</v>
          </cell>
          <cell r="AA108">
            <v>62000</v>
          </cell>
          <cell r="AB108">
            <v>0</v>
          </cell>
        </row>
        <row r="109">
          <cell r="B109" t="str">
            <v>50102040 00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187000</v>
          </cell>
          <cell r="H109">
            <v>0</v>
          </cell>
          <cell r="I109">
            <v>187000</v>
          </cell>
          <cell r="J109">
            <v>0</v>
          </cell>
          <cell r="K109">
            <v>187000</v>
          </cell>
          <cell r="L109">
            <v>0</v>
          </cell>
          <cell r="M109">
            <v>187000</v>
          </cell>
          <cell r="N109">
            <v>0</v>
          </cell>
          <cell r="O109">
            <v>187000</v>
          </cell>
          <cell r="P109">
            <v>0</v>
          </cell>
          <cell r="Q109">
            <v>187000</v>
          </cell>
          <cell r="R109">
            <v>0</v>
          </cell>
          <cell r="S109">
            <v>187000</v>
          </cell>
          <cell r="T109">
            <v>0</v>
          </cell>
          <cell r="U109">
            <v>187000</v>
          </cell>
          <cell r="V109">
            <v>0</v>
          </cell>
          <cell r="W109">
            <v>187000</v>
          </cell>
          <cell r="X109">
            <v>0</v>
          </cell>
          <cell r="Y109">
            <v>187000</v>
          </cell>
          <cell r="Z109">
            <v>0</v>
          </cell>
          <cell r="AA109">
            <v>187000</v>
          </cell>
          <cell r="AB109">
            <v>0</v>
          </cell>
        </row>
        <row r="110">
          <cell r="B110" t="str">
            <v>50102050 00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</row>
        <row r="111">
          <cell r="B111" t="str">
            <v>50102060 00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</row>
        <row r="112">
          <cell r="B112" t="str">
            <v>50102070 00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</row>
        <row r="113">
          <cell r="B113" t="str">
            <v>50102080 00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</row>
        <row r="114">
          <cell r="B114" t="str">
            <v>50102100 00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</row>
        <row r="115">
          <cell r="B115" t="str">
            <v>50102990 00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</row>
        <row r="116">
          <cell r="B116" t="str">
            <v>50102990 11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</row>
        <row r="117">
          <cell r="B117" t="str">
            <v>50102120 00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</row>
        <row r="118">
          <cell r="B118" t="str">
            <v>50102130 00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</row>
        <row r="119">
          <cell r="B119" t="str">
            <v>50102140 00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</row>
        <row r="120">
          <cell r="B120" t="str">
            <v>50102150 00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</row>
        <row r="121">
          <cell r="B121" t="str">
            <v>50103010 00</v>
          </cell>
          <cell r="C121">
            <v>0</v>
          </cell>
          <cell r="D121">
            <v>0</v>
          </cell>
          <cell r="E121">
            <v>122783.04000000001</v>
          </cell>
          <cell r="F121">
            <v>0</v>
          </cell>
          <cell r="G121">
            <v>247590.48</v>
          </cell>
          <cell r="H121">
            <v>0</v>
          </cell>
          <cell r="I121">
            <v>402512.64000000001</v>
          </cell>
          <cell r="J121">
            <v>0</v>
          </cell>
          <cell r="K121">
            <v>402512.64000000001</v>
          </cell>
          <cell r="L121">
            <v>0</v>
          </cell>
          <cell r="M121">
            <v>402512.64000000001</v>
          </cell>
          <cell r="N121">
            <v>0</v>
          </cell>
          <cell r="O121">
            <v>402512.64000000001</v>
          </cell>
          <cell r="P121">
            <v>0</v>
          </cell>
          <cell r="Q121">
            <v>402512.64000000001</v>
          </cell>
          <cell r="R121">
            <v>0</v>
          </cell>
          <cell r="S121">
            <v>402512.64000000001</v>
          </cell>
          <cell r="T121">
            <v>0</v>
          </cell>
          <cell r="U121">
            <v>402512.64000000001</v>
          </cell>
          <cell r="V121">
            <v>0</v>
          </cell>
          <cell r="W121">
            <v>402512.64000000001</v>
          </cell>
          <cell r="X121">
            <v>0</v>
          </cell>
          <cell r="Y121">
            <v>402512.64000000001</v>
          </cell>
          <cell r="Z121">
            <v>0</v>
          </cell>
          <cell r="AA121">
            <v>402512.64000000001</v>
          </cell>
          <cell r="AB121">
            <v>0</v>
          </cell>
        </row>
        <row r="122">
          <cell r="B122" t="str">
            <v>50103020 00</v>
          </cell>
          <cell r="C122">
            <v>0</v>
          </cell>
          <cell r="D122">
            <v>0</v>
          </cell>
          <cell r="E122">
            <v>3600</v>
          </cell>
          <cell r="F122">
            <v>0</v>
          </cell>
          <cell r="G122">
            <v>7300</v>
          </cell>
          <cell r="H122">
            <v>0</v>
          </cell>
          <cell r="I122">
            <v>11000</v>
          </cell>
          <cell r="J122">
            <v>0</v>
          </cell>
          <cell r="K122">
            <v>11000</v>
          </cell>
          <cell r="L122">
            <v>0</v>
          </cell>
          <cell r="M122">
            <v>11000</v>
          </cell>
          <cell r="N122">
            <v>0</v>
          </cell>
          <cell r="O122">
            <v>11000</v>
          </cell>
          <cell r="P122">
            <v>0</v>
          </cell>
          <cell r="Q122">
            <v>11000</v>
          </cell>
          <cell r="R122">
            <v>0</v>
          </cell>
          <cell r="S122">
            <v>11000</v>
          </cell>
          <cell r="T122">
            <v>0</v>
          </cell>
          <cell r="U122">
            <v>11000</v>
          </cell>
          <cell r="V122">
            <v>0</v>
          </cell>
          <cell r="W122">
            <v>11000</v>
          </cell>
          <cell r="X122">
            <v>0</v>
          </cell>
          <cell r="Y122">
            <v>11000</v>
          </cell>
          <cell r="Z122">
            <v>0</v>
          </cell>
          <cell r="AA122">
            <v>11000</v>
          </cell>
          <cell r="AB122">
            <v>0</v>
          </cell>
        </row>
        <row r="123">
          <cell r="B123" t="str">
            <v>50103030 00</v>
          </cell>
          <cell r="C123">
            <v>0</v>
          </cell>
          <cell r="D123">
            <v>0</v>
          </cell>
          <cell r="E123">
            <v>11500</v>
          </cell>
          <cell r="F123">
            <v>0</v>
          </cell>
          <cell r="G123">
            <v>23200</v>
          </cell>
          <cell r="H123">
            <v>0</v>
          </cell>
          <cell r="I123">
            <v>36175</v>
          </cell>
          <cell r="J123">
            <v>0</v>
          </cell>
          <cell r="K123">
            <v>36175</v>
          </cell>
          <cell r="L123">
            <v>0</v>
          </cell>
          <cell r="M123">
            <v>36175</v>
          </cell>
          <cell r="N123">
            <v>0</v>
          </cell>
          <cell r="O123">
            <v>36175</v>
          </cell>
          <cell r="P123">
            <v>0</v>
          </cell>
          <cell r="Q123">
            <v>36175</v>
          </cell>
          <cell r="R123">
            <v>0</v>
          </cell>
          <cell r="S123">
            <v>36175</v>
          </cell>
          <cell r="T123">
            <v>0</v>
          </cell>
          <cell r="U123">
            <v>36175</v>
          </cell>
          <cell r="V123">
            <v>0</v>
          </cell>
          <cell r="W123">
            <v>36175</v>
          </cell>
          <cell r="X123">
            <v>0</v>
          </cell>
          <cell r="Y123">
            <v>36175</v>
          </cell>
          <cell r="Z123">
            <v>0</v>
          </cell>
          <cell r="AA123">
            <v>36175</v>
          </cell>
          <cell r="AB123">
            <v>0</v>
          </cell>
        </row>
        <row r="124">
          <cell r="B124" t="str">
            <v>50103040 00</v>
          </cell>
          <cell r="C124">
            <v>0</v>
          </cell>
          <cell r="D124">
            <v>0</v>
          </cell>
          <cell r="E124">
            <v>3600</v>
          </cell>
          <cell r="F124">
            <v>0</v>
          </cell>
          <cell r="G124">
            <v>7300</v>
          </cell>
          <cell r="H124">
            <v>0</v>
          </cell>
          <cell r="I124">
            <v>11000</v>
          </cell>
          <cell r="J124">
            <v>0</v>
          </cell>
          <cell r="K124">
            <v>11000</v>
          </cell>
          <cell r="L124">
            <v>0</v>
          </cell>
          <cell r="M124">
            <v>11000</v>
          </cell>
          <cell r="N124">
            <v>0</v>
          </cell>
          <cell r="O124">
            <v>11000</v>
          </cell>
          <cell r="P124">
            <v>0</v>
          </cell>
          <cell r="Q124">
            <v>11000</v>
          </cell>
          <cell r="R124">
            <v>0</v>
          </cell>
          <cell r="S124">
            <v>11000</v>
          </cell>
          <cell r="T124">
            <v>0</v>
          </cell>
          <cell r="U124">
            <v>11000</v>
          </cell>
          <cell r="V124">
            <v>0</v>
          </cell>
          <cell r="W124">
            <v>11000</v>
          </cell>
          <cell r="X124">
            <v>0</v>
          </cell>
          <cell r="Y124">
            <v>11000</v>
          </cell>
          <cell r="Z124">
            <v>0</v>
          </cell>
          <cell r="AA124">
            <v>11000</v>
          </cell>
          <cell r="AB124">
            <v>0</v>
          </cell>
        </row>
        <row r="125">
          <cell r="B125" t="str">
            <v>50104020 00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</row>
        <row r="126">
          <cell r="B126" t="str">
            <v>50104030 00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</row>
        <row r="127">
          <cell r="B127" t="str">
            <v>50104990 00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</row>
        <row r="128">
          <cell r="B128" t="str">
            <v>50201010 00</v>
          </cell>
          <cell r="C128">
            <v>0</v>
          </cell>
          <cell r="D128">
            <v>0</v>
          </cell>
          <cell r="E128">
            <v>28749.5</v>
          </cell>
          <cell r="F128">
            <v>0</v>
          </cell>
          <cell r="G128">
            <v>135490.07999999999</v>
          </cell>
          <cell r="H128">
            <v>0</v>
          </cell>
          <cell r="I128">
            <v>343640.04</v>
          </cell>
          <cell r="J128">
            <v>0</v>
          </cell>
          <cell r="K128">
            <v>343640.04</v>
          </cell>
          <cell r="L128">
            <v>0</v>
          </cell>
          <cell r="M128">
            <v>343640.04</v>
          </cell>
          <cell r="N128">
            <v>0</v>
          </cell>
          <cell r="O128">
            <v>343640.04</v>
          </cell>
          <cell r="P128">
            <v>0</v>
          </cell>
          <cell r="Q128">
            <v>343640.04</v>
          </cell>
          <cell r="R128">
            <v>0</v>
          </cell>
          <cell r="S128">
            <v>343640.04</v>
          </cell>
          <cell r="T128">
            <v>0</v>
          </cell>
          <cell r="U128">
            <v>343640.04</v>
          </cell>
          <cell r="V128">
            <v>0</v>
          </cell>
          <cell r="W128">
            <v>343640.04</v>
          </cell>
          <cell r="X128">
            <v>0</v>
          </cell>
          <cell r="Y128">
            <v>343640.04</v>
          </cell>
          <cell r="Z128">
            <v>0</v>
          </cell>
          <cell r="AA128">
            <v>343640.04</v>
          </cell>
          <cell r="AB128">
            <v>0</v>
          </cell>
        </row>
        <row r="129">
          <cell r="B129" t="str">
            <v>50201020 00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</row>
        <row r="130">
          <cell r="B130" t="str">
            <v>50202010 00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2400</v>
          </cell>
          <cell r="J130">
            <v>0</v>
          </cell>
          <cell r="K130">
            <v>2400</v>
          </cell>
          <cell r="L130">
            <v>0</v>
          </cell>
          <cell r="M130">
            <v>2400</v>
          </cell>
          <cell r="N130">
            <v>0</v>
          </cell>
          <cell r="O130">
            <v>2400</v>
          </cell>
          <cell r="P130">
            <v>0</v>
          </cell>
          <cell r="Q130">
            <v>2400</v>
          </cell>
          <cell r="R130">
            <v>0</v>
          </cell>
          <cell r="S130">
            <v>2400</v>
          </cell>
          <cell r="T130">
            <v>0</v>
          </cell>
          <cell r="U130">
            <v>2400</v>
          </cell>
          <cell r="V130">
            <v>0</v>
          </cell>
          <cell r="W130">
            <v>2400</v>
          </cell>
          <cell r="X130">
            <v>0</v>
          </cell>
          <cell r="Y130">
            <v>2400</v>
          </cell>
          <cell r="Z130">
            <v>0</v>
          </cell>
          <cell r="AA130">
            <v>2400</v>
          </cell>
          <cell r="AB130">
            <v>0</v>
          </cell>
        </row>
        <row r="131">
          <cell r="B131" t="str">
            <v>50202020 00</v>
          </cell>
          <cell r="C131">
            <v>0</v>
          </cell>
          <cell r="D131">
            <v>0</v>
          </cell>
          <cell r="E131">
            <v>3000</v>
          </cell>
          <cell r="F131">
            <v>0</v>
          </cell>
          <cell r="G131">
            <v>6000</v>
          </cell>
          <cell r="H131">
            <v>0</v>
          </cell>
          <cell r="I131">
            <v>9800</v>
          </cell>
          <cell r="J131">
            <v>0</v>
          </cell>
          <cell r="K131">
            <v>9800</v>
          </cell>
          <cell r="L131">
            <v>0</v>
          </cell>
          <cell r="M131">
            <v>9800</v>
          </cell>
          <cell r="N131">
            <v>0</v>
          </cell>
          <cell r="O131">
            <v>9800</v>
          </cell>
          <cell r="P131">
            <v>0</v>
          </cell>
          <cell r="Q131">
            <v>9800</v>
          </cell>
          <cell r="R131">
            <v>0</v>
          </cell>
          <cell r="S131">
            <v>9800</v>
          </cell>
          <cell r="T131">
            <v>0</v>
          </cell>
          <cell r="U131">
            <v>9800</v>
          </cell>
          <cell r="V131">
            <v>0</v>
          </cell>
          <cell r="W131">
            <v>9800</v>
          </cell>
          <cell r="X131">
            <v>0</v>
          </cell>
          <cell r="Y131">
            <v>9800</v>
          </cell>
          <cell r="Z131">
            <v>0</v>
          </cell>
          <cell r="AA131">
            <v>9800</v>
          </cell>
          <cell r="AB131">
            <v>0</v>
          </cell>
        </row>
        <row r="132">
          <cell r="B132" t="str">
            <v>50203010 00</v>
          </cell>
          <cell r="C132">
            <v>0</v>
          </cell>
          <cell r="D132">
            <v>0</v>
          </cell>
          <cell r="E132">
            <v>78528.42</v>
          </cell>
          <cell r="F132">
            <v>0</v>
          </cell>
          <cell r="G132">
            <v>126558.43</v>
          </cell>
          <cell r="H132">
            <v>0</v>
          </cell>
          <cell r="I132">
            <v>152434.07</v>
          </cell>
          <cell r="J132">
            <v>0</v>
          </cell>
          <cell r="K132">
            <v>152434.07</v>
          </cell>
          <cell r="L132">
            <v>0</v>
          </cell>
          <cell r="M132">
            <v>152434.07</v>
          </cell>
          <cell r="N132">
            <v>0</v>
          </cell>
          <cell r="O132">
            <v>152434.07</v>
          </cell>
          <cell r="P132">
            <v>0</v>
          </cell>
          <cell r="Q132">
            <v>152434.07</v>
          </cell>
          <cell r="R132">
            <v>0</v>
          </cell>
          <cell r="S132">
            <v>152434.07</v>
          </cell>
          <cell r="T132">
            <v>0</v>
          </cell>
          <cell r="U132">
            <v>152434.07</v>
          </cell>
          <cell r="V132">
            <v>0</v>
          </cell>
          <cell r="W132">
            <v>152434.07</v>
          </cell>
          <cell r="X132">
            <v>0</v>
          </cell>
          <cell r="Y132">
            <v>152434.07</v>
          </cell>
          <cell r="Z132">
            <v>0</v>
          </cell>
          <cell r="AA132">
            <v>152434.07</v>
          </cell>
          <cell r="AB132">
            <v>0</v>
          </cell>
        </row>
        <row r="133">
          <cell r="B133" t="str">
            <v>50203020 00</v>
          </cell>
          <cell r="C133">
            <v>0</v>
          </cell>
          <cell r="D133">
            <v>0</v>
          </cell>
          <cell r="E133">
            <v>12758</v>
          </cell>
          <cell r="F133">
            <v>0</v>
          </cell>
          <cell r="G133">
            <v>28336</v>
          </cell>
          <cell r="H133">
            <v>0</v>
          </cell>
          <cell r="I133">
            <v>44602</v>
          </cell>
          <cell r="J133">
            <v>0</v>
          </cell>
          <cell r="K133">
            <v>44602</v>
          </cell>
          <cell r="L133">
            <v>0</v>
          </cell>
          <cell r="M133">
            <v>44602</v>
          </cell>
          <cell r="N133">
            <v>0</v>
          </cell>
          <cell r="O133">
            <v>44602</v>
          </cell>
          <cell r="P133">
            <v>0</v>
          </cell>
          <cell r="Q133">
            <v>44602</v>
          </cell>
          <cell r="R133">
            <v>0</v>
          </cell>
          <cell r="S133">
            <v>44602</v>
          </cell>
          <cell r="T133">
            <v>0</v>
          </cell>
          <cell r="U133">
            <v>44602</v>
          </cell>
          <cell r="V133">
            <v>0</v>
          </cell>
          <cell r="W133">
            <v>44602</v>
          </cell>
          <cell r="X133">
            <v>0</v>
          </cell>
          <cell r="Y133">
            <v>44602</v>
          </cell>
          <cell r="Z133">
            <v>0</v>
          </cell>
          <cell r="AA133">
            <v>44602</v>
          </cell>
          <cell r="AB133">
            <v>0</v>
          </cell>
        </row>
        <row r="134">
          <cell r="B134" t="str">
            <v>50203080 00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</row>
        <row r="135">
          <cell r="B135" t="str">
            <v>50203090 00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22010.86</v>
          </cell>
          <cell r="H135">
            <v>0</v>
          </cell>
          <cell r="I135">
            <v>2010.8600000000006</v>
          </cell>
          <cell r="J135">
            <v>0</v>
          </cell>
          <cell r="K135">
            <v>2010.8600000000006</v>
          </cell>
          <cell r="L135">
            <v>0</v>
          </cell>
          <cell r="M135">
            <v>2010.8600000000006</v>
          </cell>
          <cell r="N135">
            <v>0</v>
          </cell>
          <cell r="O135">
            <v>2010.8600000000006</v>
          </cell>
          <cell r="P135">
            <v>0</v>
          </cell>
          <cell r="Q135">
            <v>2010.8600000000006</v>
          </cell>
          <cell r="R135">
            <v>0</v>
          </cell>
          <cell r="S135">
            <v>2010.8600000000006</v>
          </cell>
          <cell r="T135">
            <v>0</v>
          </cell>
          <cell r="U135">
            <v>2010.8600000000006</v>
          </cell>
          <cell r="V135">
            <v>0</v>
          </cell>
          <cell r="W135">
            <v>2010.8600000000006</v>
          </cell>
          <cell r="X135">
            <v>0</v>
          </cell>
          <cell r="Y135">
            <v>2010.8600000000006</v>
          </cell>
          <cell r="Z135">
            <v>0</v>
          </cell>
          <cell r="AA135">
            <v>2010.8600000000006</v>
          </cell>
          <cell r="AB135">
            <v>0</v>
          </cell>
        </row>
        <row r="136">
          <cell r="B136" t="str">
            <v>50203990 00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2938</v>
          </cell>
          <cell r="H136">
            <v>0</v>
          </cell>
          <cell r="I136">
            <v>2336.75</v>
          </cell>
          <cell r="J136">
            <v>0</v>
          </cell>
          <cell r="K136">
            <v>2336.75</v>
          </cell>
          <cell r="L136">
            <v>0</v>
          </cell>
          <cell r="M136">
            <v>2336.75</v>
          </cell>
          <cell r="N136">
            <v>0</v>
          </cell>
          <cell r="O136">
            <v>2336.75</v>
          </cell>
          <cell r="P136">
            <v>0</v>
          </cell>
          <cell r="Q136">
            <v>2336.75</v>
          </cell>
          <cell r="R136">
            <v>0</v>
          </cell>
          <cell r="S136">
            <v>2336.75</v>
          </cell>
          <cell r="T136">
            <v>0</v>
          </cell>
          <cell r="U136">
            <v>2336.75</v>
          </cell>
          <cell r="V136">
            <v>0</v>
          </cell>
          <cell r="W136">
            <v>2336.75</v>
          </cell>
          <cell r="X136">
            <v>0</v>
          </cell>
          <cell r="Y136">
            <v>2336.75</v>
          </cell>
          <cell r="Z136">
            <v>0</v>
          </cell>
          <cell r="AA136">
            <v>2336.75</v>
          </cell>
          <cell r="AB136">
            <v>0</v>
          </cell>
        </row>
        <row r="137">
          <cell r="B137" t="str">
            <v>50204010 00</v>
          </cell>
          <cell r="C137">
            <v>0</v>
          </cell>
          <cell r="D137">
            <v>0</v>
          </cell>
          <cell r="E137">
            <v>720</v>
          </cell>
          <cell r="F137">
            <v>0</v>
          </cell>
          <cell r="G137">
            <v>14420.03</v>
          </cell>
          <cell r="H137">
            <v>0</v>
          </cell>
          <cell r="I137">
            <v>28887.239999999998</v>
          </cell>
          <cell r="J137">
            <v>0</v>
          </cell>
          <cell r="K137">
            <v>28887.239999999998</v>
          </cell>
          <cell r="L137">
            <v>0</v>
          </cell>
          <cell r="M137">
            <v>28887.239999999998</v>
          </cell>
          <cell r="N137">
            <v>0</v>
          </cell>
          <cell r="O137">
            <v>28887.239999999998</v>
          </cell>
          <cell r="P137">
            <v>0</v>
          </cell>
          <cell r="Q137">
            <v>28887.239999999998</v>
          </cell>
          <cell r="R137">
            <v>0</v>
          </cell>
          <cell r="S137">
            <v>28887.239999999998</v>
          </cell>
          <cell r="T137">
            <v>0</v>
          </cell>
          <cell r="U137">
            <v>28887.239999999998</v>
          </cell>
          <cell r="V137">
            <v>0</v>
          </cell>
          <cell r="W137">
            <v>28887.239999999998</v>
          </cell>
          <cell r="X137">
            <v>0</v>
          </cell>
          <cell r="Y137">
            <v>28887.239999999998</v>
          </cell>
          <cell r="Z137">
            <v>0</v>
          </cell>
          <cell r="AA137">
            <v>28887.239999999998</v>
          </cell>
          <cell r="AB137">
            <v>0</v>
          </cell>
        </row>
        <row r="138">
          <cell r="B138" t="str">
            <v>50204020 00</v>
          </cell>
          <cell r="C138">
            <v>0</v>
          </cell>
          <cell r="D138">
            <v>0</v>
          </cell>
          <cell r="E138">
            <v>249415.44</v>
          </cell>
          <cell r="F138">
            <v>0</v>
          </cell>
          <cell r="G138">
            <v>397646.29</v>
          </cell>
          <cell r="H138">
            <v>0</v>
          </cell>
          <cell r="I138">
            <v>569508.59</v>
          </cell>
          <cell r="J138">
            <v>0</v>
          </cell>
          <cell r="K138">
            <v>569508.59</v>
          </cell>
          <cell r="L138">
            <v>0</v>
          </cell>
          <cell r="M138">
            <v>569508.59</v>
          </cell>
          <cell r="N138">
            <v>0</v>
          </cell>
          <cell r="O138">
            <v>569508.59</v>
          </cell>
          <cell r="P138">
            <v>0</v>
          </cell>
          <cell r="Q138">
            <v>569508.59</v>
          </cell>
          <cell r="R138">
            <v>0</v>
          </cell>
          <cell r="S138">
            <v>569508.59</v>
          </cell>
          <cell r="T138">
            <v>0</v>
          </cell>
          <cell r="U138">
            <v>569508.59</v>
          </cell>
          <cell r="V138">
            <v>0</v>
          </cell>
          <cell r="W138">
            <v>569508.59</v>
          </cell>
          <cell r="X138">
            <v>0</v>
          </cell>
          <cell r="Y138">
            <v>569508.59</v>
          </cell>
          <cell r="Z138">
            <v>0</v>
          </cell>
          <cell r="AA138">
            <v>569508.59</v>
          </cell>
          <cell r="AB138">
            <v>0</v>
          </cell>
        </row>
        <row r="139">
          <cell r="B139" t="str">
            <v>50205010 00</v>
          </cell>
          <cell r="C139">
            <v>0</v>
          </cell>
          <cell r="D139">
            <v>0</v>
          </cell>
          <cell r="E139">
            <v>10436</v>
          </cell>
          <cell r="F139">
            <v>0</v>
          </cell>
          <cell r="G139">
            <v>14193.6</v>
          </cell>
          <cell r="H139">
            <v>0</v>
          </cell>
          <cell r="I139">
            <v>13563.6</v>
          </cell>
          <cell r="J139">
            <v>0</v>
          </cell>
          <cell r="K139">
            <v>13563.6</v>
          </cell>
          <cell r="L139">
            <v>0</v>
          </cell>
          <cell r="M139">
            <v>13563.6</v>
          </cell>
          <cell r="N139">
            <v>0</v>
          </cell>
          <cell r="O139">
            <v>13563.6</v>
          </cell>
          <cell r="P139">
            <v>0</v>
          </cell>
          <cell r="Q139">
            <v>13563.6</v>
          </cell>
          <cell r="R139">
            <v>0</v>
          </cell>
          <cell r="S139">
            <v>13563.6</v>
          </cell>
          <cell r="T139">
            <v>0</v>
          </cell>
          <cell r="U139">
            <v>13563.6</v>
          </cell>
          <cell r="V139">
            <v>0</v>
          </cell>
          <cell r="W139">
            <v>13563.6</v>
          </cell>
          <cell r="X139">
            <v>0</v>
          </cell>
          <cell r="Y139">
            <v>13563.6</v>
          </cell>
          <cell r="Z139">
            <v>0</v>
          </cell>
          <cell r="AA139">
            <v>13563.6</v>
          </cell>
          <cell r="AB139">
            <v>0</v>
          </cell>
        </row>
        <row r="140">
          <cell r="B140" t="str">
            <v>50205020 01</v>
          </cell>
          <cell r="C140">
            <v>0</v>
          </cell>
          <cell r="D140">
            <v>0</v>
          </cell>
          <cell r="E140">
            <v>4000</v>
          </cell>
          <cell r="F140">
            <v>0</v>
          </cell>
          <cell r="G140">
            <v>8600</v>
          </cell>
          <cell r="H140">
            <v>0</v>
          </cell>
          <cell r="I140">
            <v>19600</v>
          </cell>
          <cell r="J140">
            <v>0</v>
          </cell>
          <cell r="K140">
            <v>19600</v>
          </cell>
          <cell r="L140">
            <v>0</v>
          </cell>
          <cell r="M140">
            <v>19600</v>
          </cell>
          <cell r="N140">
            <v>0</v>
          </cell>
          <cell r="O140">
            <v>19600</v>
          </cell>
          <cell r="P140">
            <v>0</v>
          </cell>
          <cell r="Q140">
            <v>19600</v>
          </cell>
          <cell r="R140">
            <v>0</v>
          </cell>
          <cell r="S140">
            <v>19600</v>
          </cell>
          <cell r="T140">
            <v>0</v>
          </cell>
          <cell r="U140">
            <v>19600</v>
          </cell>
          <cell r="V140">
            <v>0</v>
          </cell>
          <cell r="W140">
            <v>19600</v>
          </cell>
          <cell r="X140">
            <v>0</v>
          </cell>
          <cell r="Y140">
            <v>19600</v>
          </cell>
          <cell r="Z140">
            <v>0</v>
          </cell>
          <cell r="AA140">
            <v>19600</v>
          </cell>
          <cell r="AB140">
            <v>0</v>
          </cell>
        </row>
        <row r="141">
          <cell r="B141" t="str">
            <v>50205020 02</v>
          </cell>
          <cell r="C141">
            <v>0</v>
          </cell>
          <cell r="D141">
            <v>0</v>
          </cell>
          <cell r="E141">
            <v>5637.41</v>
          </cell>
          <cell r="F141">
            <v>0</v>
          </cell>
          <cell r="G141">
            <v>15926.07</v>
          </cell>
          <cell r="H141">
            <v>0</v>
          </cell>
          <cell r="I141">
            <v>35975.07</v>
          </cell>
          <cell r="J141">
            <v>0</v>
          </cell>
          <cell r="K141">
            <v>35975.07</v>
          </cell>
          <cell r="L141">
            <v>0</v>
          </cell>
          <cell r="M141">
            <v>35975.07</v>
          </cell>
          <cell r="N141">
            <v>0</v>
          </cell>
          <cell r="O141">
            <v>35975.07</v>
          </cell>
          <cell r="P141">
            <v>0</v>
          </cell>
          <cell r="Q141">
            <v>35975.07</v>
          </cell>
          <cell r="R141">
            <v>0</v>
          </cell>
          <cell r="S141">
            <v>35975.07</v>
          </cell>
          <cell r="T141">
            <v>0</v>
          </cell>
          <cell r="U141">
            <v>35975.07</v>
          </cell>
          <cell r="V141">
            <v>0</v>
          </cell>
          <cell r="W141">
            <v>35975.07</v>
          </cell>
          <cell r="X141">
            <v>0</v>
          </cell>
          <cell r="Y141">
            <v>35975.07</v>
          </cell>
          <cell r="Z141">
            <v>0</v>
          </cell>
          <cell r="AA141">
            <v>35975.07</v>
          </cell>
          <cell r="AB141">
            <v>0</v>
          </cell>
        </row>
        <row r="142">
          <cell r="B142" t="str">
            <v>50205030 00</v>
          </cell>
          <cell r="C142">
            <v>0</v>
          </cell>
          <cell r="D142">
            <v>0</v>
          </cell>
          <cell r="E142">
            <v>9520</v>
          </cell>
          <cell r="F142">
            <v>0</v>
          </cell>
          <cell r="G142">
            <v>19600</v>
          </cell>
          <cell r="H142">
            <v>0</v>
          </cell>
          <cell r="I142">
            <v>29120</v>
          </cell>
          <cell r="J142">
            <v>0</v>
          </cell>
          <cell r="K142">
            <v>29120</v>
          </cell>
          <cell r="L142">
            <v>0</v>
          </cell>
          <cell r="M142">
            <v>29120</v>
          </cell>
          <cell r="N142">
            <v>0</v>
          </cell>
          <cell r="O142">
            <v>29120</v>
          </cell>
          <cell r="P142">
            <v>0</v>
          </cell>
          <cell r="Q142">
            <v>29120</v>
          </cell>
          <cell r="R142">
            <v>0</v>
          </cell>
          <cell r="S142">
            <v>29120</v>
          </cell>
          <cell r="T142">
            <v>0</v>
          </cell>
          <cell r="U142">
            <v>29120</v>
          </cell>
          <cell r="V142">
            <v>0</v>
          </cell>
          <cell r="W142">
            <v>29120</v>
          </cell>
          <cell r="X142">
            <v>0</v>
          </cell>
          <cell r="Y142">
            <v>29120</v>
          </cell>
          <cell r="Z142">
            <v>0</v>
          </cell>
          <cell r="AA142">
            <v>29120</v>
          </cell>
          <cell r="AB142">
            <v>0</v>
          </cell>
        </row>
        <row r="143">
          <cell r="B143" t="str">
            <v>50205040 00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1254.19</v>
          </cell>
          <cell r="H143">
            <v>0</v>
          </cell>
          <cell r="I143">
            <v>2929.19</v>
          </cell>
          <cell r="J143">
            <v>0</v>
          </cell>
          <cell r="K143">
            <v>2929.19</v>
          </cell>
          <cell r="L143">
            <v>0</v>
          </cell>
          <cell r="M143">
            <v>2929.19</v>
          </cell>
          <cell r="N143">
            <v>0</v>
          </cell>
          <cell r="O143">
            <v>2929.19</v>
          </cell>
          <cell r="P143">
            <v>0</v>
          </cell>
          <cell r="Q143">
            <v>2929.19</v>
          </cell>
          <cell r="R143">
            <v>0</v>
          </cell>
          <cell r="S143">
            <v>2929.19</v>
          </cell>
          <cell r="T143">
            <v>0</v>
          </cell>
          <cell r="U143">
            <v>2929.19</v>
          </cell>
          <cell r="V143">
            <v>0</v>
          </cell>
          <cell r="W143">
            <v>2929.19</v>
          </cell>
          <cell r="X143">
            <v>0</v>
          </cell>
          <cell r="Y143">
            <v>2929.19</v>
          </cell>
          <cell r="Z143">
            <v>0</v>
          </cell>
          <cell r="AA143">
            <v>2929.19</v>
          </cell>
          <cell r="AB143">
            <v>0</v>
          </cell>
        </row>
        <row r="144">
          <cell r="B144" t="str">
            <v>50207010 00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</row>
        <row r="145">
          <cell r="B145" t="str">
            <v>50210030 00</v>
          </cell>
          <cell r="C145">
            <v>0</v>
          </cell>
          <cell r="D145">
            <v>0</v>
          </cell>
          <cell r="E145">
            <v>8200</v>
          </cell>
          <cell r="F145">
            <v>0</v>
          </cell>
          <cell r="G145">
            <v>8200</v>
          </cell>
          <cell r="H145">
            <v>0</v>
          </cell>
          <cell r="I145">
            <v>49200</v>
          </cell>
          <cell r="J145">
            <v>0</v>
          </cell>
          <cell r="K145">
            <v>49200</v>
          </cell>
          <cell r="L145">
            <v>0</v>
          </cell>
          <cell r="M145">
            <v>49200</v>
          </cell>
          <cell r="N145">
            <v>0</v>
          </cell>
          <cell r="O145">
            <v>49200</v>
          </cell>
          <cell r="P145">
            <v>0</v>
          </cell>
          <cell r="Q145">
            <v>49200</v>
          </cell>
          <cell r="R145">
            <v>0</v>
          </cell>
          <cell r="S145">
            <v>49200</v>
          </cell>
          <cell r="T145">
            <v>0</v>
          </cell>
          <cell r="U145">
            <v>49200</v>
          </cell>
          <cell r="V145">
            <v>0</v>
          </cell>
          <cell r="W145">
            <v>49200</v>
          </cell>
          <cell r="X145">
            <v>0</v>
          </cell>
          <cell r="Y145">
            <v>49200</v>
          </cell>
          <cell r="Z145">
            <v>0</v>
          </cell>
          <cell r="AA145">
            <v>49200</v>
          </cell>
          <cell r="AB145">
            <v>0</v>
          </cell>
        </row>
        <row r="146">
          <cell r="B146" t="str">
            <v>50211010 00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100</v>
          </cell>
          <cell r="J146">
            <v>0</v>
          </cell>
          <cell r="K146">
            <v>100</v>
          </cell>
          <cell r="L146">
            <v>0</v>
          </cell>
          <cell r="M146">
            <v>100</v>
          </cell>
          <cell r="N146">
            <v>0</v>
          </cell>
          <cell r="O146">
            <v>100</v>
          </cell>
          <cell r="P146">
            <v>0</v>
          </cell>
          <cell r="Q146">
            <v>100</v>
          </cell>
          <cell r="R146">
            <v>0</v>
          </cell>
          <cell r="S146">
            <v>100</v>
          </cell>
          <cell r="T146">
            <v>0</v>
          </cell>
          <cell r="U146">
            <v>100</v>
          </cell>
          <cell r="V146">
            <v>0</v>
          </cell>
          <cell r="W146">
            <v>100</v>
          </cell>
          <cell r="X146">
            <v>0</v>
          </cell>
          <cell r="Y146">
            <v>100</v>
          </cell>
          <cell r="Z146">
            <v>0</v>
          </cell>
          <cell r="AA146">
            <v>100</v>
          </cell>
          <cell r="AB146">
            <v>0</v>
          </cell>
        </row>
        <row r="147">
          <cell r="B147" t="str">
            <v>50211020 00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</row>
        <row r="148">
          <cell r="B148" t="str">
            <v>50211030 00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</row>
        <row r="149">
          <cell r="B149" t="str">
            <v>50211990 00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157260.6</v>
          </cell>
          <cell r="H149">
            <v>0</v>
          </cell>
          <cell r="I149">
            <v>337367.66000000003</v>
          </cell>
          <cell r="J149">
            <v>0</v>
          </cell>
          <cell r="K149">
            <v>337367.66000000003</v>
          </cell>
          <cell r="L149">
            <v>0</v>
          </cell>
          <cell r="M149">
            <v>337367.66000000003</v>
          </cell>
          <cell r="N149">
            <v>0</v>
          </cell>
          <cell r="O149">
            <v>337367.66000000003</v>
          </cell>
          <cell r="P149">
            <v>0</v>
          </cell>
          <cell r="Q149">
            <v>337367.66000000003</v>
          </cell>
          <cell r="R149">
            <v>0</v>
          </cell>
          <cell r="S149">
            <v>337367.66000000003</v>
          </cell>
          <cell r="T149">
            <v>0</v>
          </cell>
          <cell r="U149">
            <v>337367.66000000003</v>
          </cell>
          <cell r="V149">
            <v>0</v>
          </cell>
          <cell r="W149">
            <v>337367.66000000003</v>
          </cell>
          <cell r="X149">
            <v>0</v>
          </cell>
          <cell r="Y149">
            <v>337367.66000000003</v>
          </cell>
          <cell r="Z149">
            <v>0</v>
          </cell>
          <cell r="AA149">
            <v>337367.66000000003</v>
          </cell>
          <cell r="AB149">
            <v>0</v>
          </cell>
        </row>
        <row r="150">
          <cell r="B150" t="str">
            <v>50212020 00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34797.51</v>
          </cell>
          <cell r="H150">
            <v>0</v>
          </cell>
          <cell r="I150">
            <v>59963.48</v>
          </cell>
          <cell r="J150">
            <v>0</v>
          </cell>
          <cell r="K150">
            <v>59963.48</v>
          </cell>
          <cell r="L150">
            <v>0</v>
          </cell>
          <cell r="M150">
            <v>59963.48</v>
          </cell>
          <cell r="N150">
            <v>0</v>
          </cell>
          <cell r="O150">
            <v>59963.48</v>
          </cell>
          <cell r="P150">
            <v>0</v>
          </cell>
          <cell r="Q150">
            <v>59963.48</v>
          </cell>
          <cell r="R150">
            <v>0</v>
          </cell>
          <cell r="S150">
            <v>59963.48</v>
          </cell>
          <cell r="T150">
            <v>0</v>
          </cell>
          <cell r="U150">
            <v>59963.48</v>
          </cell>
          <cell r="V150">
            <v>0</v>
          </cell>
          <cell r="W150">
            <v>59963.48</v>
          </cell>
          <cell r="X150">
            <v>0</v>
          </cell>
          <cell r="Y150">
            <v>59963.48</v>
          </cell>
          <cell r="Z150">
            <v>0</v>
          </cell>
          <cell r="AA150">
            <v>59963.48</v>
          </cell>
          <cell r="AB150">
            <v>0</v>
          </cell>
        </row>
        <row r="151">
          <cell r="B151" t="str">
            <v>50212030 00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</row>
        <row r="152">
          <cell r="B152" t="str">
            <v>50212990 00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</row>
        <row r="153">
          <cell r="B153" t="str">
            <v>50213040 00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1768.65</v>
          </cell>
          <cell r="J153">
            <v>0</v>
          </cell>
          <cell r="K153">
            <v>1768.65</v>
          </cell>
          <cell r="L153">
            <v>0</v>
          </cell>
          <cell r="M153">
            <v>1768.65</v>
          </cell>
          <cell r="N153">
            <v>0</v>
          </cell>
          <cell r="O153">
            <v>1768.65</v>
          </cell>
          <cell r="P153">
            <v>0</v>
          </cell>
          <cell r="Q153">
            <v>1768.65</v>
          </cell>
          <cell r="R153">
            <v>0</v>
          </cell>
          <cell r="S153">
            <v>1768.65</v>
          </cell>
          <cell r="T153">
            <v>0</v>
          </cell>
          <cell r="U153">
            <v>1768.65</v>
          </cell>
          <cell r="V153">
            <v>0</v>
          </cell>
          <cell r="W153">
            <v>1768.65</v>
          </cell>
          <cell r="X153">
            <v>0</v>
          </cell>
          <cell r="Y153">
            <v>1768.65</v>
          </cell>
          <cell r="Z153">
            <v>0</v>
          </cell>
          <cell r="AA153">
            <v>1768.65</v>
          </cell>
          <cell r="AB153">
            <v>0</v>
          </cell>
        </row>
        <row r="154">
          <cell r="B154" t="str">
            <v>50213050 01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</row>
        <row r="155">
          <cell r="B155" t="str">
            <v>50213050 02</v>
          </cell>
          <cell r="C155">
            <v>0</v>
          </cell>
          <cell r="D155">
            <v>0</v>
          </cell>
          <cell r="E155">
            <v>780</v>
          </cell>
          <cell r="F155">
            <v>0</v>
          </cell>
          <cell r="G155">
            <v>1180</v>
          </cell>
          <cell r="H155">
            <v>0</v>
          </cell>
          <cell r="I155">
            <v>1630</v>
          </cell>
          <cell r="J155">
            <v>0</v>
          </cell>
          <cell r="K155">
            <v>1630</v>
          </cell>
          <cell r="L155">
            <v>0</v>
          </cell>
          <cell r="M155">
            <v>1630</v>
          </cell>
          <cell r="N155">
            <v>0</v>
          </cell>
          <cell r="O155">
            <v>1630</v>
          </cell>
          <cell r="P155">
            <v>0</v>
          </cell>
          <cell r="Q155">
            <v>1630</v>
          </cell>
          <cell r="R155">
            <v>0</v>
          </cell>
          <cell r="S155">
            <v>1630</v>
          </cell>
          <cell r="T155">
            <v>0</v>
          </cell>
          <cell r="U155">
            <v>1630</v>
          </cell>
          <cell r="V155">
            <v>0</v>
          </cell>
          <cell r="W155">
            <v>1630</v>
          </cell>
          <cell r="X155">
            <v>0</v>
          </cell>
          <cell r="Y155">
            <v>1630</v>
          </cell>
          <cell r="Z155">
            <v>0</v>
          </cell>
          <cell r="AA155">
            <v>1630</v>
          </cell>
          <cell r="AB155">
            <v>0</v>
          </cell>
        </row>
        <row r="156">
          <cell r="B156" t="str">
            <v>50213050 03</v>
          </cell>
          <cell r="C156">
            <v>0</v>
          </cell>
          <cell r="D156">
            <v>0</v>
          </cell>
          <cell r="E156">
            <v>750</v>
          </cell>
          <cell r="F156">
            <v>0</v>
          </cell>
          <cell r="G156">
            <v>750</v>
          </cell>
          <cell r="H156">
            <v>0</v>
          </cell>
          <cell r="I156">
            <v>750</v>
          </cell>
          <cell r="J156">
            <v>0</v>
          </cell>
          <cell r="K156">
            <v>750</v>
          </cell>
          <cell r="L156">
            <v>0</v>
          </cell>
          <cell r="M156">
            <v>750</v>
          </cell>
          <cell r="N156">
            <v>0</v>
          </cell>
          <cell r="O156">
            <v>750</v>
          </cell>
          <cell r="P156">
            <v>0</v>
          </cell>
          <cell r="Q156">
            <v>750</v>
          </cell>
          <cell r="R156">
            <v>0</v>
          </cell>
          <cell r="S156">
            <v>750</v>
          </cell>
          <cell r="T156">
            <v>0</v>
          </cell>
          <cell r="U156">
            <v>750</v>
          </cell>
          <cell r="V156">
            <v>0</v>
          </cell>
          <cell r="W156">
            <v>750</v>
          </cell>
          <cell r="X156">
            <v>0</v>
          </cell>
          <cell r="Y156">
            <v>750</v>
          </cell>
          <cell r="Z156">
            <v>0</v>
          </cell>
          <cell r="AA156">
            <v>750</v>
          </cell>
          <cell r="AB156">
            <v>0</v>
          </cell>
        </row>
        <row r="157">
          <cell r="B157" t="str">
            <v>50213050 14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</row>
        <row r="158">
          <cell r="B158" t="str">
            <v>50213050 99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</row>
        <row r="159">
          <cell r="B159" t="str">
            <v>50213060 01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20881</v>
          </cell>
          <cell r="H159">
            <v>0</v>
          </cell>
          <cell r="I159">
            <v>21742.75</v>
          </cell>
          <cell r="J159">
            <v>0</v>
          </cell>
          <cell r="K159">
            <v>21742.75</v>
          </cell>
          <cell r="L159">
            <v>0</v>
          </cell>
          <cell r="M159">
            <v>21742.75</v>
          </cell>
          <cell r="N159">
            <v>0</v>
          </cell>
          <cell r="O159">
            <v>21742.75</v>
          </cell>
          <cell r="P159">
            <v>0</v>
          </cell>
          <cell r="Q159">
            <v>21742.75</v>
          </cell>
          <cell r="R159">
            <v>0</v>
          </cell>
          <cell r="S159">
            <v>21742.75</v>
          </cell>
          <cell r="T159">
            <v>0</v>
          </cell>
          <cell r="U159">
            <v>21742.75</v>
          </cell>
          <cell r="V159">
            <v>0</v>
          </cell>
          <cell r="W159">
            <v>21742.75</v>
          </cell>
          <cell r="X159">
            <v>0</v>
          </cell>
          <cell r="Y159">
            <v>21742.75</v>
          </cell>
          <cell r="Z159">
            <v>0</v>
          </cell>
          <cell r="AA159">
            <v>21742.75</v>
          </cell>
          <cell r="AB159">
            <v>0</v>
          </cell>
        </row>
        <row r="160">
          <cell r="B160" t="str">
            <v>50213080 01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</row>
        <row r="161">
          <cell r="B161" t="str">
            <v>50213990 00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</row>
        <row r="162">
          <cell r="B162" t="str">
            <v>50213990 99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</row>
        <row r="163">
          <cell r="B163" t="str">
            <v>50215010 00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</row>
        <row r="164">
          <cell r="B164" t="str">
            <v>50215020 00</v>
          </cell>
          <cell r="C164">
            <v>0</v>
          </cell>
          <cell r="D164">
            <v>0</v>
          </cell>
          <cell r="E164">
            <v>2428.61</v>
          </cell>
          <cell r="F164">
            <v>0</v>
          </cell>
          <cell r="G164">
            <v>5129.0200000000004</v>
          </cell>
          <cell r="H164">
            <v>0</v>
          </cell>
          <cell r="I164">
            <v>8187.5400000000009</v>
          </cell>
          <cell r="J164">
            <v>0</v>
          </cell>
          <cell r="K164">
            <v>8187.5400000000009</v>
          </cell>
          <cell r="L164">
            <v>0</v>
          </cell>
          <cell r="M164">
            <v>8187.5400000000009</v>
          </cell>
          <cell r="N164">
            <v>0</v>
          </cell>
          <cell r="O164">
            <v>8187.5400000000009</v>
          </cell>
          <cell r="P164">
            <v>0</v>
          </cell>
          <cell r="Q164">
            <v>8187.5400000000009</v>
          </cell>
          <cell r="R164">
            <v>0</v>
          </cell>
          <cell r="S164">
            <v>8187.5400000000009</v>
          </cell>
          <cell r="T164">
            <v>0</v>
          </cell>
          <cell r="U164">
            <v>8187.5400000000009</v>
          </cell>
          <cell r="V164">
            <v>0</v>
          </cell>
          <cell r="W164">
            <v>8187.5400000000009</v>
          </cell>
          <cell r="X164">
            <v>0</v>
          </cell>
          <cell r="Y164">
            <v>8187.5400000000009</v>
          </cell>
          <cell r="Z164">
            <v>0</v>
          </cell>
          <cell r="AA164">
            <v>8187.5400000000009</v>
          </cell>
          <cell r="AB164">
            <v>0</v>
          </cell>
        </row>
        <row r="165">
          <cell r="B165" t="str">
            <v>50215030 00</v>
          </cell>
          <cell r="C165">
            <v>0</v>
          </cell>
          <cell r="D165">
            <v>0</v>
          </cell>
          <cell r="E165">
            <v>5030.03</v>
          </cell>
          <cell r="F165">
            <v>0</v>
          </cell>
          <cell r="G165">
            <v>10060.06</v>
          </cell>
          <cell r="H165">
            <v>0</v>
          </cell>
          <cell r="I165">
            <v>15090.09</v>
          </cell>
          <cell r="J165">
            <v>0</v>
          </cell>
          <cell r="K165">
            <v>15090.09</v>
          </cell>
          <cell r="L165">
            <v>0</v>
          </cell>
          <cell r="M165">
            <v>15090.09</v>
          </cell>
          <cell r="N165">
            <v>0</v>
          </cell>
          <cell r="O165">
            <v>15090.09</v>
          </cell>
          <cell r="P165">
            <v>0</v>
          </cell>
          <cell r="Q165">
            <v>15090.09</v>
          </cell>
          <cell r="R165">
            <v>0</v>
          </cell>
          <cell r="S165">
            <v>15090.09</v>
          </cell>
          <cell r="T165">
            <v>0</v>
          </cell>
          <cell r="U165">
            <v>15090.09</v>
          </cell>
          <cell r="V165">
            <v>0</v>
          </cell>
          <cell r="W165">
            <v>15090.09</v>
          </cell>
          <cell r="X165">
            <v>0</v>
          </cell>
          <cell r="Y165">
            <v>15090.09</v>
          </cell>
          <cell r="Z165">
            <v>0</v>
          </cell>
          <cell r="AA165">
            <v>15090.09</v>
          </cell>
          <cell r="AB165">
            <v>0</v>
          </cell>
        </row>
        <row r="166">
          <cell r="B166" t="str">
            <v>50299010 00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</row>
        <row r="167">
          <cell r="B167" t="str">
            <v>50299020 00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</row>
        <row r="168">
          <cell r="B168" t="str">
            <v>50299030 00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78350</v>
          </cell>
          <cell r="H168">
            <v>0</v>
          </cell>
          <cell r="I168">
            <v>187607.3</v>
          </cell>
          <cell r="J168">
            <v>0</v>
          </cell>
          <cell r="K168">
            <v>187607.3</v>
          </cell>
          <cell r="L168">
            <v>0</v>
          </cell>
          <cell r="M168">
            <v>187607.3</v>
          </cell>
          <cell r="N168">
            <v>0</v>
          </cell>
          <cell r="O168">
            <v>187607.3</v>
          </cell>
          <cell r="P168">
            <v>0</v>
          </cell>
          <cell r="Q168">
            <v>187607.3</v>
          </cell>
          <cell r="R168">
            <v>0</v>
          </cell>
          <cell r="S168">
            <v>187607.3</v>
          </cell>
          <cell r="T168">
            <v>0</v>
          </cell>
          <cell r="U168">
            <v>187607.3</v>
          </cell>
          <cell r="V168">
            <v>0</v>
          </cell>
          <cell r="W168">
            <v>187607.3</v>
          </cell>
          <cell r="X168">
            <v>0</v>
          </cell>
          <cell r="Y168">
            <v>187607.3</v>
          </cell>
          <cell r="Z168">
            <v>0</v>
          </cell>
          <cell r="AA168">
            <v>187607.3</v>
          </cell>
          <cell r="AB168">
            <v>0</v>
          </cell>
        </row>
        <row r="169">
          <cell r="B169" t="str">
            <v>50299040 00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8440</v>
          </cell>
          <cell r="H169">
            <v>0</v>
          </cell>
          <cell r="I169">
            <v>8840</v>
          </cell>
          <cell r="J169">
            <v>0</v>
          </cell>
          <cell r="K169">
            <v>8840</v>
          </cell>
          <cell r="L169">
            <v>0</v>
          </cell>
          <cell r="M169">
            <v>8840</v>
          </cell>
          <cell r="N169">
            <v>0</v>
          </cell>
          <cell r="O169">
            <v>8840</v>
          </cell>
          <cell r="P169">
            <v>0</v>
          </cell>
          <cell r="Q169">
            <v>8840</v>
          </cell>
          <cell r="R169">
            <v>0</v>
          </cell>
          <cell r="S169">
            <v>8840</v>
          </cell>
          <cell r="T169">
            <v>0</v>
          </cell>
          <cell r="U169">
            <v>8840</v>
          </cell>
          <cell r="V169">
            <v>0</v>
          </cell>
          <cell r="W169">
            <v>8840</v>
          </cell>
          <cell r="X169">
            <v>0</v>
          </cell>
          <cell r="Y169">
            <v>8840</v>
          </cell>
          <cell r="Z169">
            <v>0</v>
          </cell>
          <cell r="AA169">
            <v>8840</v>
          </cell>
          <cell r="AB169">
            <v>0</v>
          </cell>
        </row>
        <row r="170">
          <cell r="B170" t="str">
            <v>50299050 00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</row>
        <row r="171">
          <cell r="B171" t="str">
            <v>50299060 00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</row>
        <row r="172">
          <cell r="B172" t="str">
            <v>50299070 00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1600</v>
          </cell>
          <cell r="H172">
            <v>0</v>
          </cell>
          <cell r="I172">
            <v>3120</v>
          </cell>
          <cell r="J172">
            <v>0</v>
          </cell>
          <cell r="K172">
            <v>3120</v>
          </cell>
          <cell r="L172">
            <v>0</v>
          </cell>
          <cell r="M172">
            <v>3120</v>
          </cell>
          <cell r="N172">
            <v>0</v>
          </cell>
          <cell r="O172">
            <v>3120</v>
          </cell>
          <cell r="P172">
            <v>0</v>
          </cell>
          <cell r="Q172">
            <v>3120</v>
          </cell>
          <cell r="R172">
            <v>0</v>
          </cell>
          <cell r="S172">
            <v>3120</v>
          </cell>
          <cell r="T172">
            <v>0</v>
          </cell>
          <cell r="U172">
            <v>3120</v>
          </cell>
          <cell r="V172">
            <v>0</v>
          </cell>
          <cell r="W172">
            <v>3120</v>
          </cell>
          <cell r="X172">
            <v>0</v>
          </cell>
          <cell r="Y172">
            <v>3120</v>
          </cell>
          <cell r="Z172">
            <v>0</v>
          </cell>
          <cell r="AA172">
            <v>3120</v>
          </cell>
          <cell r="AB172">
            <v>0</v>
          </cell>
        </row>
        <row r="173">
          <cell r="B173" t="str">
            <v>50299990 00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</row>
        <row r="174">
          <cell r="B174" t="str">
            <v>50299990 01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</row>
        <row r="175">
          <cell r="B175" t="str">
            <v>50501020 00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</row>
        <row r="176">
          <cell r="B176" t="str">
            <v>50501020 99</v>
          </cell>
          <cell r="C176">
            <v>0</v>
          </cell>
          <cell r="D176">
            <v>0</v>
          </cell>
          <cell r="E176">
            <v>196.88</v>
          </cell>
          <cell r="F176">
            <v>0</v>
          </cell>
          <cell r="G176">
            <v>393.75</v>
          </cell>
          <cell r="H176">
            <v>0</v>
          </cell>
          <cell r="I176">
            <v>590.63</v>
          </cell>
          <cell r="J176">
            <v>0</v>
          </cell>
          <cell r="K176">
            <v>590.63</v>
          </cell>
          <cell r="L176">
            <v>0</v>
          </cell>
          <cell r="M176">
            <v>590.63</v>
          </cell>
          <cell r="N176">
            <v>0</v>
          </cell>
          <cell r="O176">
            <v>590.63</v>
          </cell>
          <cell r="P176">
            <v>0</v>
          </cell>
          <cell r="Q176">
            <v>590.63</v>
          </cell>
          <cell r="R176">
            <v>0</v>
          </cell>
          <cell r="S176">
            <v>590.63</v>
          </cell>
          <cell r="T176">
            <v>0</v>
          </cell>
          <cell r="U176">
            <v>590.63</v>
          </cell>
          <cell r="V176">
            <v>0</v>
          </cell>
          <cell r="W176">
            <v>590.63</v>
          </cell>
          <cell r="X176">
            <v>0</v>
          </cell>
          <cell r="Y176">
            <v>590.63</v>
          </cell>
          <cell r="Z176">
            <v>0</v>
          </cell>
          <cell r="AA176">
            <v>590.63</v>
          </cell>
          <cell r="AB176">
            <v>0</v>
          </cell>
        </row>
        <row r="177">
          <cell r="B177" t="str">
            <v>50501040 00</v>
          </cell>
          <cell r="C177">
            <v>0</v>
          </cell>
          <cell r="D177">
            <v>0</v>
          </cell>
          <cell r="E177">
            <v>20312.419999999998</v>
          </cell>
          <cell r="F177">
            <v>0</v>
          </cell>
          <cell r="G177">
            <v>40624.83</v>
          </cell>
          <cell r="H177">
            <v>0</v>
          </cell>
          <cell r="I177">
            <v>60937.25</v>
          </cell>
          <cell r="J177">
            <v>0</v>
          </cell>
          <cell r="K177">
            <v>60937.25</v>
          </cell>
          <cell r="L177">
            <v>0</v>
          </cell>
          <cell r="M177">
            <v>60937.25</v>
          </cell>
          <cell r="N177">
            <v>0</v>
          </cell>
          <cell r="O177">
            <v>60937.25</v>
          </cell>
          <cell r="P177">
            <v>0</v>
          </cell>
          <cell r="Q177">
            <v>60937.25</v>
          </cell>
          <cell r="R177">
            <v>0</v>
          </cell>
          <cell r="S177">
            <v>60937.25</v>
          </cell>
          <cell r="T177">
            <v>0</v>
          </cell>
          <cell r="U177">
            <v>60937.25</v>
          </cell>
          <cell r="V177">
            <v>0</v>
          </cell>
          <cell r="W177">
            <v>60937.25</v>
          </cell>
          <cell r="X177">
            <v>0</v>
          </cell>
          <cell r="Y177">
            <v>60937.25</v>
          </cell>
          <cell r="Z177">
            <v>0</v>
          </cell>
          <cell r="AA177">
            <v>60937.25</v>
          </cell>
          <cell r="AB177">
            <v>0</v>
          </cell>
        </row>
        <row r="178">
          <cell r="B178" t="str">
            <v>50501050 00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</row>
        <row r="179">
          <cell r="B179" t="str">
            <v>50501050 02</v>
          </cell>
          <cell r="C179">
            <v>0</v>
          </cell>
          <cell r="D179">
            <v>0</v>
          </cell>
          <cell r="E179">
            <v>5925.08</v>
          </cell>
          <cell r="F179">
            <v>0</v>
          </cell>
          <cell r="G179">
            <v>11850.15</v>
          </cell>
          <cell r="H179">
            <v>0</v>
          </cell>
          <cell r="I179">
            <v>17775.23</v>
          </cell>
          <cell r="J179">
            <v>0</v>
          </cell>
          <cell r="K179">
            <v>17775.23</v>
          </cell>
          <cell r="L179">
            <v>0</v>
          </cell>
          <cell r="M179">
            <v>17775.23</v>
          </cell>
          <cell r="N179">
            <v>0</v>
          </cell>
          <cell r="O179">
            <v>17775.23</v>
          </cell>
          <cell r="P179">
            <v>0</v>
          </cell>
          <cell r="Q179">
            <v>17775.23</v>
          </cell>
          <cell r="R179">
            <v>0</v>
          </cell>
          <cell r="S179">
            <v>17775.23</v>
          </cell>
          <cell r="T179">
            <v>0</v>
          </cell>
          <cell r="U179">
            <v>17775.23</v>
          </cell>
          <cell r="V179">
            <v>0</v>
          </cell>
          <cell r="W179">
            <v>17775.23</v>
          </cell>
          <cell r="X179">
            <v>0</v>
          </cell>
          <cell r="Y179">
            <v>17775.23</v>
          </cell>
          <cell r="Z179">
            <v>0</v>
          </cell>
          <cell r="AA179">
            <v>17775.23</v>
          </cell>
          <cell r="AB179">
            <v>0</v>
          </cell>
        </row>
        <row r="180">
          <cell r="B180" t="str">
            <v>50501050 03</v>
          </cell>
          <cell r="C180">
            <v>0</v>
          </cell>
          <cell r="D180">
            <v>0</v>
          </cell>
          <cell r="E180">
            <v>24251.439999999999</v>
          </cell>
          <cell r="F180">
            <v>0</v>
          </cell>
          <cell r="G180">
            <v>48502.46</v>
          </cell>
          <cell r="H180">
            <v>0</v>
          </cell>
          <cell r="I180">
            <v>72753.899999999994</v>
          </cell>
          <cell r="J180">
            <v>0</v>
          </cell>
          <cell r="K180">
            <v>72753.899999999994</v>
          </cell>
          <cell r="L180">
            <v>0</v>
          </cell>
          <cell r="M180">
            <v>72753.899999999994</v>
          </cell>
          <cell r="N180">
            <v>0</v>
          </cell>
          <cell r="O180">
            <v>72753.899999999994</v>
          </cell>
          <cell r="P180">
            <v>0</v>
          </cell>
          <cell r="Q180">
            <v>72753.899999999994</v>
          </cell>
          <cell r="R180">
            <v>0</v>
          </cell>
          <cell r="S180">
            <v>72753.899999999994</v>
          </cell>
          <cell r="T180">
            <v>0</v>
          </cell>
          <cell r="U180">
            <v>72753.899999999994</v>
          </cell>
          <cell r="V180">
            <v>0</v>
          </cell>
          <cell r="W180">
            <v>72753.899999999994</v>
          </cell>
          <cell r="X180">
            <v>0</v>
          </cell>
          <cell r="Y180">
            <v>72753.899999999994</v>
          </cell>
          <cell r="Z180">
            <v>0</v>
          </cell>
          <cell r="AA180">
            <v>72753.899999999994</v>
          </cell>
          <cell r="AB180">
            <v>0</v>
          </cell>
        </row>
        <row r="181">
          <cell r="B181" t="str">
            <v>50501050 07</v>
          </cell>
          <cell r="C181">
            <v>0</v>
          </cell>
          <cell r="D181">
            <v>0</v>
          </cell>
          <cell r="E181">
            <v>223.25</v>
          </cell>
          <cell r="F181">
            <v>0</v>
          </cell>
          <cell r="G181">
            <v>446.48</v>
          </cell>
          <cell r="H181">
            <v>0</v>
          </cell>
          <cell r="I181">
            <v>669.72</v>
          </cell>
          <cell r="J181">
            <v>0</v>
          </cell>
          <cell r="K181">
            <v>669.72</v>
          </cell>
          <cell r="L181">
            <v>0</v>
          </cell>
          <cell r="M181">
            <v>669.72</v>
          </cell>
          <cell r="N181">
            <v>0</v>
          </cell>
          <cell r="O181">
            <v>669.72</v>
          </cell>
          <cell r="P181">
            <v>0</v>
          </cell>
          <cell r="Q181">
            <v>669.72</v>
          </cell>
          <cell r="R181">
            <v>0</v>
          </cell>
          <cell r="S181">
            <v>669.72</v>
          </cell>
          <cell r="T181">
            <v>0</v>
          </cell>
          <cell r="U181">
            <v>669.72</v>
          </cell>
          <cell r="V181">
            <v>0</v>
          </cell>
          <cell r="W181">
            <v>669.72</v>
          </cell>
          <cell r="X181">
            <v>0</v>
          </cell>
          <cell r="Y181">
            <v>669.72</v>
          </cell>
          <cell r="Z181">
            <v>0</v>
          </cell>
          <cell r="AA181">
            <v>669.72</v>
          </cell>
          <cell r="AB181">
            <v>0</v>
          </cell>
        </row>
        <row r="182">
          <cell r="B182" t="str">
            <v>50501050 08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</row>
        <row r="183">
          <cell r="B183" t="str">
            <v>50501050 09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</row>
        <row r="184">
          <cell r="B184" t="str">
            <v>50501050 10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</row>
        <row r="185">
          <cell r="B185" t="str">
            <v>50501050 11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</row>
        <row r="186">
          <cell r="B186" t="str">
            <v>50501050 14</v>
          </cell>
          <cell r="C186">
            <v>0</v>
          </cell>
          <cell r="D186">
            <v>0</v>
          </cell>
          <cell r="E186">
            <v>94005.84</v>
          </cell>
          <cell r="F186">
            <v>0</v>
          </cell>
          <cell r="G186">
            <v>188011.55</v>
          </cell>
          <cell r="H186">
            <v>0</v>
          </cell>
          <cell r="I186">
            <v>282017.39</v>
          </cell>
          <cell r="J186">
            <v>0</v>
          </cell>
          <cell r="K186">
            <v>282017.39</v>
          </cell>
          <cell r="L186">
            <v>0</v>
          </cell>
          <cell r="M186">
            <v>282017.39</v>
          </cell>
          <cell r="N186">
            <v>0</v>
          </cell>
          <cell r="O186">
            <v>282017.39</v>
          </cell>
          <cell r="P186">
            <v>0</v>
          </cell>
          <cell r="Q186">
            <v>282017.39</v>
          </cell>
          <cell r="R186">
            <v>0</v>
          </cell>
          <cell r="S186">
            <v>282017.39</v>
          </cell>
          <cell r="T186">
            <v>0</v>
          </cell>
          <cell r="U186">
            <v>282017.39</v>
          </cell>
          <cell r="V186">
            <v>0</v>
          </cell>
          <cell r="W186">
            <v>282017.39</v>
          </cell>
          <cell r="X186">
            <v>0</v>
          </cell>
          <cell r="Y186">
            <v>282017.39</v>
          </cell>
          <cell r="Z186">
            <v>0</v>
          </cell>
          <cell r="AA186">
            <v>282017.39</v>
          </cell>
          <cell r="AB186">
            <v>0</v>
          </cell>
        </row>
        <row r="187">
          <cell r="B187" t="str">
            <v>50501050 99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</row>
        <row r="188">
          <cell r="B188" t="str">
            <v>50501060 01</v>
          </cell>
          <cell r="C188">
            <v>0</v>
          </cell>
          <cell r="D188">
            <v>0</v>
          </cell>
          <cell r="E188">
            <v>7066.07</v>
          </cell>
          <cell r="F188">
            <v>0</v>
          </cell>
          <cell r="G188">
            <v>29132.14</v>
          </cell>
          <cell r="H188">
            <v>0</v>
          </cell>
          <cell r="I188">
            <v>51198.21</v>
          </cell>
          <cell r="J188">
            <v>0</v>
          </cell>
          <cell r="K188">
            <v>51198.21</v>
          </cell>
          <cell r="L188">
            <v>0</v>
          </cell>
          <cell r="M188">
            <v>51198.21</v>
          </cell>
          <cell r="N188">
            <v>0</v>
          </cell>
          <cell r="O188">
            <v>51198.21</v>
          </cell>
          <cell r="P188">
            <v>0</v>
          </cell>
          <cell r="Q188">
            <v>51198.21</v>
          </cell>
          <cell r="R188">
            <v>0</v>
          </cell>
          <cell r="S188">
            <v>51198.21</v>
          </cell>
          <cell r="T188">
            <v>0</v>
          </cell>
          <cell r="U188">
            <v>51198.21</v>
          </cell>
          <cell r="V188">
            <v>0</v>
          </cell>
          <cell r="W188">
            <v>51198.21</v>
          </cell>
          <cell r="X188">
            <v>0</v>
          </cell>
          <cell r="Y188">
            <v>51198.21</v>
          </cell>
          <cell r="Z188">
            <v>0</v>
          </cell>
          <cell r="AA188">
            <v>51198.21</v>
          </cell>
          <cell r="AB188">
            <v>0</v>
          </cell>
        </row>
        <row r="189">
          <cell r="B189" t="str">
            <v>50501060 04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</row>
        <row r="190">
          <cell r="B190" t="str">
            <v>50501070 00</v>
          </cell>
          <cell r="C190">
            <v>0</v>
          </cell>
          <cell r="D190">
            <v>0</v>
          </cell>
          <cell r="E190">
            <v>9113.01</v>
          </cell>
          <cell r="F190">
            <v>0</v>
          </cell>
          <cell r="G190">
            <v>18225.34</v>
          </cell>
          <cell r="H190">
            <v>0</v>
          </cell>
          <cell r="I190">
            <v>27338.35</v>
          </cell>
          <cell r="J190">
            <v>0</v>
          </cell>
          <cell r="K190">
            <v>27338.35</v>
          </cell>
          <cell r="L190">
            <v>0</v>
          </cell>
          <cell r="M190">
            <v>27338.35</v>
          </cell>
          <cell r="N190">
            <v>0</v>
          </cell>
          <cell r="O190">
            <v>27338.35</v>
          </cell>
          <cell r="P190">
            <v>0</v>
          </cell>
          <cell r="Q190">
            <v>27338.35</v>
          </cell>
          <cell r="R190">
            <v>0</v>
          </cell>
          <cell r="S190">
            <v>27338.35</v>
          </cell>
          <cell r="T190">
            <v>0</v>
          </cell>
          <cell r="U190">
            <v>27338.35</v>
          </cell>
          <cell r="V190">
            <v>0</v>
          </cell>
          <cell r="W190">
            <v>27338.35</v>
          </cell>
          <cell r="X190">
            <v>0</v>
          </cell>
          <cell r="Y190">
            <v>27338.35</v>
          </cell>
          <cell r="Z190">
            <v>0</v>
          </cell>
          <cell r="AA190">
            <v>27338.35</v>
          </cell>
          <cell r="AB190">
            <v>0</v>
          </cell>
        </row>
        <row r="191">
          <cell r="B191" t="str">
            <v>50501090 02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</row>
        <row r="192">
          <cell r="B192" t="str">
            <v>50501990 00</v>
          </cell>
          <cell r="C192">
            <v>0</v>
          </cell>
          <cell r="D192">
            <v>0</v>
          </cell>
          <cell r="E192">
            <v>6789.25</v>
          </cell>
          <cell r="F192">
            <v>0</v>
          </cell>
          <cell r="G192">
            <v>13578.51</v>
          </cell>
          <cell r="H192">
            <v>0</v>
          </cell>
          <cell r="I192">
            <v>20367.86</v>
          </cell>
          <cell r="J192">
            <v>0</v>
          </cell>
          <cell r="K192">
            <v>20367.86</v>
          </cell>
          <cell r="L192">
            <v>0</v>
          </cell>
          <cell r="M192">
            <v>20367.86</v>
          </cell>
          <cell r="N192">
            <v>0</v>
          </cell>
          <cell r="O192">
            <v>20367.86</v>
          </cell>
          <cell r="P192">
            <v>0</v>
          </cell>
          <cell r="Q192">
            <v>20367.86</v>
          </cell>
          <cell r="R192">
            <v>0</v>
          </cell>
          <cell r="S192">
            <v>20367.86</v>
          </cell>
          <cell r="T192">
            <v>0</v>
          </cell>
          <cell r="U192">
            <v>20367.86</v>
          </cell>
          <cell r="V192">
            <v>0</v>
          </cell>
          <cell r="W192">
            <v>20367.86</v>
          </cell>
          <cell r="X192">
            <v>0</v>
          </cell>
          <cell r="Y192">
            <v>20367.86</v>
          </cell>
          <cell r="Z192">
            <v>0</v>
          </cell>
          <cell r="AA192">
            <v>20367.86</v>
          </cell>
          <cell r="AB192">
            <v>0</v>
          </cell>
        </row>
        <row r="194">
          <cell r="E194">
            <v>48031689.399999991</v>
          </cell>
          <cell r="F194">
            <v>48031689.399999999</v>
          </cell>
          <cell r="G194">
            <v>50905756.159999982</v>
          </cell>
          <cell r="H194">
            <v>50905756.159999996</v>
          </cell>
          <cell r="I194">
            <v>53951874.25</v>
          </cell>
          <cell r="J194">
            <v>53951874.25</v>
          </cell>
          <cell r="K194">
            <v>53951874.25</v>
          </cell>
          <cell r="L194">
            <v>53951874.25</v>
          </cell>
          <cell r="M194">
            <v>53951874.25</v>
          </cell>
          <cell r="N194">
            <v>53951874.25</v>
          </cell>
          <cell r="O194">
            <v>53951874.25</v>
          </cell>
          <cell r="P194">
            <v>53951874.25</v>
          </cell>
          <cell r="Q194">
            <v>53951874.25</v>
          </cell>
          <cell r="R194">
            <v>53951874.25</v>
          </cell>
          <cell r="S194">
            <v>53951874.25</v>
          </cell>
          <cell r="T194">
            <v>53951874.25</v>
          </cell>
          <cell r="U194">
            <v>53951874.25</v>
          </cell>
          <cell r="V194">
            <v>53951874.25</v>
          </cell>
          <cell r="W194">
            <v>53951874.25</v>
          </cell>
          <cell r="X194">
            <v>53951874.25</v>
          </cell>
          <cell r="Y194">
            <v>53951874.25</v>
          </cell>
          <cell r="Z194">
            <v>53951874.25</v>
          </cell>
          <cell r="AA194">
            <v>53951874.25</v>
          </cell>
          <cell r="AB194">
            <v>53951874.25</v>
          </cell>
        </row>
        <row r="195">
          <cell r="F195">
            <v>0</v>
          </cell>
          <cell r="H195">
            <v>0</v>
          </cell>
          <cell r="J195">
            <v>0</v>
          </cell>
          <cell r="L195">
            <v>0</v>
          </cell>
          <cell r="N195">
            <v>0</v>
          </cell>
          <cell r="P195">
            <v>0</v>
          </cell>
          <cell r="R195">
            <v>0</v>
          </cell>
          <cell r="T195">
            <v>0</v>
          </cell>
          <cell r="V195">
            <v>0</v>
          </cell>
          <cell r="X195">
            <v>0</v>
          </cell>
          <cell r="Z195">
            <v>0</v>
          </cell>
          <cell r="AB195">
            <v>0</v>
          </cell>
        </row>
      </sheetData>
      <sheetData sheetId="185"/>
      <sheetData sheetId="186">
        <row r="32">
          <cell r="D32">
            <v>403315</v>
          </cell>
          <cell r="E32">
            <v>832741</v>
          </cell>
          <cell r="F32">
            <v>1271501</v>
          </cell>
          <cell r="G32">
            <v>1271501</v>
          </cell>
          <cell r="H32">
            <v>1271501</v>
          </cell>
          <cell r="I32">
            <v>1271501</v>
          </cell>
          <cell r="J32">
            <v>1271501</v>
          </cell>
          <cell r="K32">
            <v>1271501</v>
          </cell>
          <cell r="L32">
            <v>1271501</v>
          </cell>
          <cell r="M32">
            <v>1271501</v>
          </cell>
          <cell r="N32">
            <v>1271501</v>
          </cell>
          <cell r="O32">
            <v>1271501</v>
          </cell>
        </row>
        <row r="74">
          <cell r="D74">
            <v>1256675.04</v>
          </cell>
          <cell r="E74">
            <v>2739644.48</v>
          </cell>
          <cell r="F74">
            <v>4343959.6399999997</v>
          </cell>
          <cell r="G74">
            <v>4343959.6399999997</v>
          </cell>
          <cell r="H74">
            <v>4343959.6399999997</v>
          </cell>
          <cell r="I74">
            <v>4343959.6399999997</v>
          </cell>
          <cell r="J74">
            <v>4343959.6399999997</v>
          </cell>
          <cell r="K74">
            <v>4343959.6399999997</v>
          </cell>
          <cell r="L74">
            <v>4343959.6399999997</v>
          </cell>
          <cell r="M74">
            <v>4343959.6399999997</v>
          </cell>
          <cell r="N74">
            <v>4343959.6399999997</v>
          </cell>
          <cell r="O74">
            <v>4343959.6399999997</v>
          </cell>
        </row>
        <row r="126">
          <cell r="D126">
            <v>419953.41</v>
          </cell>
          <cell r="E126">
            <v>1119621.7399999998</v>
          </cell>
          <cell r="F126">
            <v>1952174.88</v>
          </cell>
          <cell r="G126">
            <v>1952174.88</v>
          </cell>
          <cell r="H126">
            <v>1952174.88</v>
          </cell>
          <cell r="I126">
            <v>1952174.88</v>
          </cell>
          <cell r="J126">
            <v>1952174.88</v>
          </cell>
          <cell r="K126">
            <v>1952174.88</v>
          </cell>
          <cell r="L126">
            <v>1952174.88</v>
          </cell>
          <cell r="M126">
            <v>1952174.88</v>
          </cell>
          <cell r="N126">
            <v>1952174.88</v>
          </cell>
          <cell r="O126">
            <v>1952174.88</v>
          </cell>
        </row>
        <row r="149">
          <cell r="D149">
            <v>167883.24</v>
          </cell>
          <cell r="E149">
            <v>350765.21</v>
          </cell>
          <cell r="F149">
            <v>533648.54</v>
          </cell>
          <cell r="G149">
            <v>533648.54</v>
          </cell>
          <cell r="H149">
            <v>533648.54</v>
          </cell>
          <cell r="I149">
            <v>533648.54</v>
          </cell>
          <cell r="J149">
            <v>533648.54</v>
          </cell>
          <cell r="K149">
            <v>533648.54</v>
          </cell>
          <cell r="L149">
            <v>533648.54</v>
          </cell>
          <cell r="M149">
            <v>533648.54</v>
          </cell>
          <cell r="N149">
            <v>533648.54</v>
          </cell>
          <cell r="O149">
            <v>533648.54</v>
          </cell>
        </row>
        <row r="161">
          <cell r="D161">
            <v>1695000</v>
          </cell>
          <cell r="E161">
            <v>3990988.82</v>
          </cell>
          <cell r="F161">
            <v>6367085.7000000002</v>
          </cell>
          <cell r="G161">
            <v>6367085.7000000002</v>
          </cell>
          <cell r="H161">
            <v>6367085.7000000002</v>
          </cell>
          <cell r="I161">
            <v>6367085.7000000002</v>
          </cell>
          <cell r="J161">
            <v>6367085.7000000002</v>
          </cell>
          <cell r="K161">
            <v>6367085.7000000002</v>
          </cell>
          <cell r="L161">
            <v>6367085.7000000002</v>
          </cell>
          <cell r="M161">
            <v>6367085.7000000002</v>
          </cell>
          <cell r="N161">
            <v>6367085.7000000002</v>
          </cell>
          <cell r="O161">
            <v>6367085.7000000002</v>
          </cell>
        </row>
      </sheetData>
      <sheetData sheetId="187"/>
      <sheetData sheetId="188"/>
      <sheetData sheetId="189">
        <row r="12">
          <cell r="F12">
            <v>1331902.9900000002</v>
          </cell>
          <cell r="G12">
            <v>1832825.7100000004</v>
          </cell>
          <cell r="H12">
            <v>1974064.8700000006</v>
          </cell>
          <cell r="I12">
            <v>1974064.8700000006</v>
          </cell>
          <cell r="J12">
            <v>1974064.8700000006</v>
          </cell>
          <cell r="K12">
            <v>1974064.8700000006</v>
          </cell>
          <cell r="L12">
            <v>1974064.8700000006</v>
          </cell>
          <cell r="M12">
            <v>1974064.8700000006</v>
          </cell>
          <cell r="N12">
            <v>1974064.8700000006</v>
          </cell>
          <cell r="O12">
            <v>1974064.8700000006</v>
          </cell>
          <cell r="P12">
            <v>1974064.8700000006</v>
          </cell>
          <cell r="Q12">
            <v>1974064.8700000006</v>
          </cell>
        </row>
        <row r="23">
          <cell r="F23">
            <v>155908.79999999999</v>
          </cell>
          <cell r="G23">
            <v>155908.79999999999</v>
          </cell>
          <cell r="H23">
            <v>172858.80000000005</v>
          </cell>
          <cell r="I23">
            <v>172858.80000000005</v>
          </cell>
          <cell r="J23">
            <v>172858.80000000005</v>
          </cell>
          <cell r="K23">
            <v>172858.80000000005</v>
          </cell>
          <cell r="L23">
            <v>172858.80000000005</v>
          </cell>
          <cell r="M23">
            <v>172858.80000000005</v>
          </cell>
          <cell r="N23">
            <v>172858.80000000005</v>
          </cell>
          <cell r="O23">
            <v>172858.80000000005</v>
          </cell>
          <cell r="P23">
            <v>172858.80000000005</v>
          </cell>
          <cell r="Q23">
            <v>172858.80000000005</v>
          </cell>
        </row>
        <row r="29">
          <cell r="F29">
            <v>1194194.52</v>
          </cell>
          <cell r="G29">
            <v>1152548.51</v>
          </cell>
          <cell r="H29">
            <v>1170832.3699999999</v>
          </cell>
          <cell r="I29">
            <v>1170832.3699999999</v>
          </cell>
          <cell r="J29">
            <v>1170832.3699999999</v>
          </cell>
          <cell r="K29">
            <v>1170832.3699999999</v>
          </cell>
          <cell r="L29">
            <v>1170832.3699999999</v>
          </cell>
          <cell r="M29">
            <v>1170832.3699999999</v>
          </cell>
          <cell r="N29">
            <v>1170832.3699999999</v>
          </cell>
          <cell r="O29">
            <v>1170832.3699999999</v>
          </cell>
          <cell r="P29">
            <v>1170832.3699999999</v>
          </cell>
          <cell r="Q29">
            <v>1170832.3699999999</v>
          </cell>
        </row>
        <row r="35">
          <cell r="F35">
            <v>181583.57</v>
          </cell>
          <cell r="G35">
            <v>230853.88</v>
          </cell>
          <cell r="H35">
            <v>437207.32</v>
          </cell>
          <cell r="I35">
            <v>437207.32</v>
          </cell>
          <cell r="J35">
            <v>437207.32</v>
          </cell>
          <cell r="K35">
            <v>437207.32</v>
          </cell>
          <cell r="L35">
            <v>437207.32</v>
          </cell>
          <cell r="M35">
            <v>437207.32</v>
          </cell>
          <cell r="N35">
            <v>437207.32</v>
          </cell>
          <cell r="O35">
            <v>437207.32</v>
          </cell>
          <cell r="P35">
            <v>437207.32</v>
          </cell>
          <cell r="Q35">
            <v>437207.32</v>
          </cell>
        </row>
        <row r="52">
          <cell r="F52">
            <v>27434880.300000004</v>
          </cell>
          <cell r="G52">
            <v>27251998.330000002</v>
          </cell>
          <cell r="H52">
            <v>27100426.740000002</v>
          </cell>
          <cell r="I52">
            <v>27100426.740000002</v>
          </cell>
          <cell r="J52">
            <v>27100426.740000002</v>
          </cell>
          <cell r="K52">
            <v>27100426.740000002</v>
          </cell>
          <cell r="L52">
            <v>27100426.740000002</v>
          </cell>
          <cell r="M52">
            <v>27100426.740000002</v>
          </cell>
          <cell r="N52">
            <v>27100426.740000002</v>
          </cell>
          <cell r="O52">
            <v>27100426.740000002</v>
          </cell>
          <cell r="P52">
            <v>27100426.740000002</v>
          </cell>
          <cell r="Q52">
            <v>27100426.740000002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101">
          <cell r="F101">
            <v>589691.80000000005</v>
          </cell>
          <cell r="G101">
            <v>589691.80000000005</v>
          </cell>
          <cell r="H101">
            <v>589691.80000000016</v>
          </cell>
          <cell r="I101">
            <v>589691.80000000016</v>
          </cell>
          <cell r="J101">
            <v>589691.80000000016</v>
          </cell>
          <cell r="K101">
            <v>589691.80000000016</v>
          </cell>
          <cell r="L101">
            <v>589691.80000000016</v>
          </cell>
          <cell r="M101">
            <v>589691.80000000016</v>
          </cell>
          <cell r="N101">
            <v>589691.80000000016</v>
          </cell>
          <cell r="O101">
            <v>589691.80000000016</v>
          </cell>
          <cell r="P101">
            <v>589691.80000000016</v>
          </cell>
          <cell r="Q101">
            <v>589691.80000000016</v>
          </cell>
        </row>
        <row r="105">
          <cell r="F105">
            <v>186916.78999999998</v>
          </cell>
          <cell r="G105">
            <v>195571.72999999998</v>
          </cell>
          <cell r="H105">
            <v>200409.60999999996</v>
          </cell>
          <cell r="I105">
            <v>200409.60999999996</v>
          </cell>
          <cell r="J105">
            <v>200409.60999999996</v>
          </cell>
          <cell r="K105">
            <v>200409.60999999996</v>
          </cell>
          <cell r="L105">
            <v>200409.60999999996</v>
          </cell>
          <cell r="M105">
            <v>200409.60999999996</v>
          </cell>
          <cell r="N105">
            <v>200409.60999999996</v>
          </cell>
          <cell r="O105">
            <v>200409.60999999996</v>
          </cell>
          <cell r="P105">
            <v>200409.60999999996</v>
          </cell>
          <cell r="Q105">
            <v>200409.60999999996</v>
          </cell>
        </row>
        <row r="113">
          <cell r="F113">
            <v>53527.299999999988</v>
          </cell>
          <cell r="G113">
            <v>275</v>
          </cell>
          <cell r="H113">
            <v>274.99999999998545</v>
          </cell>
          <cell r="I113">
            <v>274.99999999998545</v>
          </cell>
          <cell r="J113">
            <v>274.99999999998545</v>
          </cell>
          <cell r="K113">
            <v>274.99999999998545</v>
          </cell>
          <cell r="L113">
            <v>274.99999999998545</v>
          </cell>
          <cell r="M113">
            <v>274.99999999998545</v>
          </cell>
          <cell r="N113">
            <v>274.99999999998545</v>
          </cell>
          <cell r="O113">
            <v>274.99999999998545</v>
          </cell>
          <cell r="P113">
            <v>274.99999999998545</v>
          </cell>
          <cell r="Q113">
            <v>274.99999999998545</v>
          </cell>
        </row>
        <row r="120">
          <cell r="F120">
            <v>65771.63</v>
          </cell>
          <cell r="G120">
            <v>65771.63</v>
          </cell>
          <cell r="H120">
            <v>65771.63</v>
          </cell>
          <cell r="I120">
            <v>65771.63</v>
          </cell>
          <cell r="J120">
            <v>65771.63</v>
          </cell>
          <cell r="K120">
            <v>65771.63</v>
          </cell>
          <cell r="L120">
            <v>65771.63</v>
          </cell>
          <cell r="M120">
            <v>65771.63</v>
          </cell>
          <cell r="N120">
            <v>65771.63</v>
          </cell>
          <cell r="O120">
            <v>65771.63</v>
          </cell>
          <cell r="P120">
            <v>65771.63</v>
          </cell>
          <cell r="Q120">
            <v>65771.63</v>
          </cell>
        </row>
        <row r="131">
          <cell r="F131">
            <v>29148759.349999998</v>
          </cell>
          <cell r="G131">
            <v>29159126.679999996</v>
          </cell>
          <cell r="H131">
            <v>29190438.419999998</v>
          </cell>
          <cell r="I131">
            <v>29190438.419999998</v>
          </cell>
          <cell r="J131">
            <v>29190438.419999998</v>
          </cell>
          <cell r="K131">
            <v>29190438.419999998</v>
          </cell>
          <cell r="L131">
            <v>29190438.419999998</v>
          </cell>
          <cell r="M131">
            <v>29190438.419999998</v>
          </cell>
          <cell r="N131">
            <v>29190438.419999998</v>
          </cell>
          <cell r="O131">
            <v>29190438.419999998</v>
          </cell>
          <cell r="P131">
            <v>29190438.419999998</v>
          </cell>
          <cell r="Q131">
            <v>29190438.419999998</v>
          </cell>
        </row>
      </sheetData>
      <sheetData sheetId="190"/>
      <sheetData sheetId="19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stQ_Mar 31, 2015"/>
      <sheetName val="2ndQ_2015"/>
      <sheetName val="3rd Q_2015_FUND 101"/>
      <sheetName val="3rd Q_2015_fund151"/>
      <sheetName val="3rd Q_2015_CONSO"/>
      <sheetName val="Sheet1"/>
    </sheetNames>
    <sheetDataSet>
      <sheetData sheetId="0"/>
      <sheetData sheetId="1"/>
      <sheetData sheetId="2"/>
      <sheetData sheetId="3">
        <row r="35">
          <cell r="C35">
            <v>11000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Jan15"/>
      <sheetName val="Jan15ADA"/>
      <sheetName val="Feb15PVB"/>
      <sheetName val="Feb15-adaPVB"/>
      <sheetName val="Mar15"/>
      <sheetName val="Mar15ADA"/>
      <sheetName val="Apr15"/>
      <sheetName val="April15ADA"/>
      <sheetName val="May15ADA"/>
      <sheetName val="May15"/>
      <sheetName val="May14LBPADA"/>
      <sheetName val="May15TF"/>
      <sheetName val="June15ADA"/>
      <sheetName val="June15"/>
      <sheetName val="June15LBP"/>
      <sheetName val="July15"/>
      <sheetName val="July15ADA"/>
      <sheetName val="July15LBP"/>
      <sheetName val="Aug15"/>
      <sheetName val="Aug15ADA"/>
      <sheetName val="Aug15LBP"/>
      <sheetName val="Sept15ADA-LBP"/>
      <sheetName val="Sept15 151"/>
      <sheetName val="Sept15LBP"/>
      <sheetName val="Sept15ADA-PVB"/>
      <sheetName val="Sept15PVB"/>
      <sheetName val="OCT15LBP"/>
      <sheetName val="OCT15ADALBP"/>
      <sheetName val="OCT15ADA"/>
      <sheetName val="Oct15PVB"/>
      <sheetName val="NOV15PVB"/>
      <sheetName val="NOV15ADAPVB"/>
      <sheetName val="NOV15ADALBP"/>
      <sheetName val="NOV14LBP"/>
      <sheetName val="Nov15LBP151ADA"/>
      <sheetName val="Nov15LBP151"/>
      <sheetName val="Dec15PVB"/>
      <sheetName val="Dec15PVB-ADA"/>
      <sheetName val="Dec15PVB-AP"/>
      <sheetName val="Dec15LBP"/>
      <sheetName val="Dec15LBP151"/>
      <sheetName val="Dec15LBP-ADA"/>
      <sheetName val="decLBP 151ADA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0">
          <cell r="G10">
            <v>36016.559999999998</v>
          </cell>
        </row>
      </sheetData>
      <sheetData sheetId="27">
        <row r="12">
          <cell r="G12">
            <v>10200</v>
          </cell>
        </row>
      </sheetData>
      <sheetData sheetId="28">
        <row r="75">
          <cell r="G75">
            <v>333590.09999999998</v>
          </cell>
        </row>
      </sheetData>
      <sheetData sheetId="29"/>
      <sheetData sheetId="30"/>
      <sheetData sheetId="31">
        <row r="144">
          <cell r="G144">
            <v>2350555.0599999996</v>
          </cell>
        </row>
      </sheetData>
      <sheetData sheetId="32"/>
      <sheetData sheetId="33"/>
      <sheetData sheetId="34"/>
      <sheetData sheetId="35"/>
      <sheetData sheetId="36"/>
      <sheetData sheetId="37">
        <row r="85">
          <cell r="G85">
            <v>1045585.8400000001</v>
          </cell>
        </row>
      </sheetData>
      <sheetData sheetId="38">
        <row r="28">
          <cell r="G28">
            <v>6773469.0900000008</v>
          </cell>
        </row>
      </sheetData>
      <sheetData sheetId="39"/>
      <sheetData sheetId="40"/>
      <sheetData sheetId="41">
        <row r="30">
          <cell r="G30">
            <v>141172.63</v>
          </cell>
        </row>
      </sheetData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_F101"/>
      <sheetName val="FEB_F101"/>
      <sheetName val="MAR_F101"/>
      <sheetName val="APR_F101"/>
      <sheetName val="MAY_F101"/>
      <sheetName val="JUNE_F101"/>
      <sheetName val="JULY_F101"/>
      <sheetName val="AUG_F101"/>
      <sheetName val="SEPT_F101"/>
      <sheetName val="SEPT_F338"/>
      <sheetName val="OCT_F101"/>
      <sheetName val="NOV_F101"/>
      <sheetName val="NOV_F338"/>
      <sheetName val="DEC_F101"/>
      <sheetName val="DEC_F338"/>
      <sheetName val="DEC_F407"/>
      <sheetName val="DEC_CONSO"/>
      <sheetName val="Sheet1"/>
      <sheetName val="SUMM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0">
          <cell r="V20">
            <v>15877261.989999998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0C0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5"/>
  <sheetViews>
    <sheetView zoomScale="80" zoomScaleNormal="80" workbookViewId="0">
      <pane xSplit="3" ySplit="9" topLeftCell="K79" activePane="bottomRight" state="frozen"/>
      <selection pane="topRight" activeCell="D1" sqref="D1"/>
      <selection pane="bottomLeft" activeCell="A10" sqref="A10"/>
      <selection pane="bottomRight" activeCell="C186" sqref="C186"/>
    </sheetView>
  </sheetViews>
  <sheetFormatPr defaultRowHeight="15"/>
  <cols>
    <col min="1" max="1" width="11.140625" style="29" bestFit="1" customWidth="1"/>
    <col min="2" max="2" width="15.140625" style="29" customWidth="1"/>
    <col min="3" max="3" width="72.85546875" style="29" bestFit="1" customWidth="1"/>
    <col min="4" max="15" width="15.7109375" style="30" customWidth="1"/>
    <col min="16" max="16384" width="9.140625" style="29"/>
  </cols>
  <sheetData>
    <row r="1" spans="1:15" ht="15.75">
      <c r="A1" s="74"/>
      <c r="B1" s="34" t="s">
        <v>457</v>
      </c>
      <c r="C1" s="34" t="s">
        <v>456</v>
      </c>
    </row>
    <row r="2" spans="1:15" ht="15.75">
      <c r="A2" s="74"/>
      <c r="B2" s="34">
        <v>1</v>
      </c>
      <c r="C2" s="34" t="s">
        <v>458</v>
      </c>
    </row>
    <row r="3" spans="1:15" ht="16.5" thickBot="1">
      <c r="B3" s="34">
        <v>2</v>
      </c>
      <c r="C3" s="34" t="s">
        <v>460</v>
      </c>
    </row>
    <row r="4" spans="1:15" s="8" customFormat="1" ht="15" customHeight="1">
      <c r="B4" s="35">
        <v>3</v>
      </c>
      <c r="C4" s="35" t="s">
        <v>459</v>
      </c>
      <c r="D4" s="306" t="s">
        <v>464</v>
      </c>
      <c r="E4" s="307"/>
      <c r="F4" s="291" t="s">
        <v>464</v>
      </c>
      <c r="G4" s="292"/>
      <c r="H4" s="310" t="s">
        <v>2</v>
      </c>
      <c r="I4" s="307"/>
      <c r="J4" s="291" t="s">
        <v>3</v>
      </c>
      <c r="K4" s="292"/>
      <c r="L4" s="301" t="s">
        <v>5</v>
      </c>
      <c r="M4" s="302"/>
      <c r="N4" s="291" t="s">
        <v>4</v>
      </c>
      <c r="O4" s="292"/>
    </row>
    <row r="5" spans="1:15" s="8" customFormat="1" ht="17.25">
      <c r="B5" s="35">
        <v>4</v>
      </c>
      <c r="C5" s="35" t="s">
        <v>461</v>
      </c>
      <c r="D5" s="308"/>
      <c r="E5" s="309"/>
      <c r="F5" s="293"/>
      <c r="G5" s="294"/>
      <c r="H5" s="311"/>
      <c r="I5" s="309"/>
      <c r="J5" s="293"/>
      <c r="K5" s="294"/>
      <c r="L5" s="303"/>
      <c r="M5" s="304"/>
      <c r="N5" s="293"/>
      <c r="O5" s="294"/>
    </row>
    <row r="6" spans="1:15" s="7" customFormat="1" ht="14.25" customHeight="1">
      <c r="B6" s="34">
        <v>5</v>
      </c>
      <c r="C6" s="34" t="s">
        <v>462</v>
      </c>
      <c r="D6" s="312" t="s">
        <v>8</v>
      </c>
      <c r="E6" s="300"/>
      <c r="F6" s="295" t="s">
        <v>9</v>
      </c>
      <c r="G6" s="296"/>
      <c r="H6" s="299" t="str">
        <f>+D6</f>
        <v>As of December 31, 2015</v>
      </c>
      <c r="I6" s="300"/>
      <c r="J6" s="295" t="str">
        <f>H6</f>
        <v>As of December 31, 2015</v>
      </c>
      <c r="K6" s="296"/>
      <c r="L6" s="297" t="str">
        <f>J6</f>
        <v>As of December 31, 2015</v>
      </c>
      <c r="M6" s="298"/>
      <c r="N6" s="295" t="str">
        <f>+L6</f>
        <v>As of December 31, 2015</v>
      </c>
      <c r="O6" s="296"/>
    </row>
    <row r="7" spans="1:15" s="1" customFormat="1" ht="15.75">
      <c r="B7" s="34">
        <v>6</v>
      </c>
      <c r="C7" s="34" t="s">
        <v>463</v>
      </c>
      <c r="D7" s="36"/>
      <c r="E7" s="37"/>
      <c r="F7" s="5"/>
      <c r="G7" s="6"/>
      <c r="H7" s="38"/>
      <c r="I7" s="37"/>
      <c r="J7" s="14"/>
      <c r="K7" s="14"/>
      <c r="L7" s="3"/>
      <c r="M7" s="4"/>
      <c r="N7" s="5"/>
      <c r="O7" s="6"/>
    </row>
    <row r="8" spans="1:15" s="1" customFormat="1" ht="15.75" thickBot="1">
      <c r="D8" s="38"/>
      <c r="E8" s="37"/>
      <c r="F8" s="5"/>
      <c r="G8" s="6"/>
      <c r="H8" s="38"/>
      <c r="I8" s="37"/>
      <c r="J8" s="14"/>
      <c r="K8" s="14"/>
      <c r="L8" s="3"/>
      <c r="M8" s="4"/>
      <c r="N8" s="5"/>
      <c r="O8" s="6"/>
    </row>
    <row r="9" spans="1:15" s="2" customFormat="1" ht="15.75" thickBot="1">
      <c r="A9" s="52" t="s">
        <v>454</v>
      </c>
      <c r="B9" s="11" t="s">
        <v>0</v>
      </c>
      <c r="C9" s="12" t="s">
        <v>1</v>
      </c>
      <c r="D9" s="39" t="s">
        <v>6</v>
      </c>
      <c r="E9" s="40" t="s">
        <v>7</v>
      </c>
      <c r="F9" s="20" t="s">
        <v>6</v>
      </c>
      <c r="G9" s="21" t="s">
        <v>7</v>
      </c>
      <c r="H9" s="39" t="s">
        <v>6</v>
      </c>
      <c r="I9" s="40" t="s">
        <v>7</v>
      </c>
      <c r="J9" s="20" t="s">
        <v>6</v>
      </c>
      <c r="K9" s="21" t="s">
        <v>7</v>
      </c>
      <c r="L9" s="15" t="s">
        <v>6</v>
      </c>
      <c r="M9" s="13" t="s">
        <v>7</v>
      </c>
      <c r="N9" s="20" t="s">
        <v>6</v>
      </c>
      <c r="O9" s="21" t="s">
        <v>7</v>
      </c>
    </row>
    <row r="10" spans="1:15" customFormat="1">
      <c r="A10" s="53">
        <v>1</v>
      </c>
      <c r="B10" s="31" t="s">
        <v>10</v>
      </c>
      <c r="C10" s="10" t="s">
        <v>232</v>
      </c>
      <c r="D10" s="41"/>
      <c r="E10" s="42"/>
      <c r="F10" s="22">
        <f>IF(OR((LEFT(A10,1)="1"),(LEFT(A10,1)="5")),D10*1,D10*-1)</f>
        <v>0</v>
      </c>
      <c r="G10" s="23">
        <f>IF(OR((LEFT(A10,1)="2"),(LEFT(A10,1)="3"),(LEFT(A10,1)="4"),(LEFT(A10,1)="6")),E10*1,E10*-1)</f>
        <v>0</v>
      </c>
      <c r="H10" s="41"/>
      <c r="I10" s="42"/>
      <c r="J10" s="26">
        <f>IF(OR((LEFT(A10,1)="1"),(LEFT(A10,1)="5")),F10+H10-I10,0)</f>
        <v>0</v>
      </c>
      <c r="K10" s="28">
        <f>IF(OR((LEFT(A10,1)="2"),(LEFT(A10,1)="3"),(LEFT(A10,1)="4"),(LEFT(A10,1)="6")),G10+I10-H10,0)</f>
        <v>0</v>
      </c>
      <c r="L10" s="16">
        <f>IF(OR((LEFT(A10,1)="1"),(LEFT(A10,1)="2"),(LEFT(A10,1)="3"),(LEFT(A10,1)="6")),J10,0)</f>
        <v>0</v>
      </c>
      <c r="M10" s="17">
        <f>IF(OR((LEFT(A10,1)="1"),(LEFT(A10,1)="2"),(LEFT(A10,1)="3"),(LEFT(A10,1)="6")),K10,0)</f>
        <v>0</v>
      </c>
      <c r="N10" s="22">
        <f t="shared" ref="N10:N73" si="0">IF(OR((LEFT(A10,1)="4"),(LEFT(A10,1)="5")),J10,0)</f>
        <v>0</v>
      </c>
      <c r="O10" s="23">
        <f t="shared" ref="O10:O73" si="1">IF(OR((LEFT(A10,1)="4"),(LEFT(A10,1)="5")),K10,0)</f>
        <v>0</v>
      </c>
    </row>
    <row r="11" spans="1:15" customFormat="1">
      <c r="A11" s="54">
        <v>1</v>
      </c>
      <c r="B11" s="32" t="s">
        <v>11</v>
      </c>
      <c r="C11" s="9" t="s">
        <v>233</v>
      </c>
      <c r="D11" s="43"/>
      <c r="E11" s="44"/>
      <c r="F11" s="24">
        <f t="shared" ref="F11:F74" si="2">IF(OR((LEFT(A11,1)="1"),(LEFT(A11,1)="5")),D11*1,D11*-1)</f>
        <v>0</v>
      </c>
      <c r="G11" s="25">
        <f t="shared" ref="G11:G74" si="3">IF(OR((LEFT(A11,1)="2"),(LEFT(A11,1)="3"),(LEFT(A11,1)="4"),(LEFT(A11,1)="6")),E11*1,E11*-1)</f>
        <v>0</v>
      </c>
      <c r="H11" s="43"/>
      <c r="I11" s="44"/>
      <c r="J11" s="27">
        <f t="shared" ref="J11:J74" si="4">IF(OR((LEFT(A11,1)="1"),(LEFT(A11,1)="5")),F11+H11-I11,0)</f>
        <v>0</v>
      </c>
      <c r="K11" s="25">
        <f t="shared" ref="K11:K74" si="5">IF(OR((LEFT(A11,1)="2"),(LEFT(A11,1)="3"),(LEFT(A11,1)="4"),(LEFT(A11,1)="6")),G11+I11-H11,0)</f>
        <v>0</v>
      </c>
      <c r="L11" s="18">
        <f t="shared" ref="L11:L74" si="6">IF(OR((LEFT(A11,1)="1"),(LEFT(A11,1)="2"),(LEFT(A11,1)="3"),(LEFT(A11,1)="6")),J11,0)</f>
        <v>0</v>
      </c>
      <c r="M11" s="19">
        <f t="shared" ref="M11:M74" si="7">IF(OR((LEFT(A11,1)="1"),(LEFT(A11,1)="2"),(LEFT(A11,1)="3"),(LEFT(A11,1)="6")),K11,0)</f>
        <v>0</v>
      </c>
      <c r="N11" s="22">
        <f t="shared" si="0"/>
        <v>0</v>
      </c>
      <c r="O11" s="23">
        <f t="shared" si="1"/>
        <v>0</v>
      </c>
    </row>
    <row r="12" spans="1:15" customFormat="1">
      <c r="A12" s="54">
        <v>1</v>
      </c>
      <c r="B12" s="32" t="s">
        <v>12</v>
      </c>
      <c r="C12" s="9" t="s">
        <v>234</v>
      </c>
      <c r="D12" s="43">
        <v>662458.87</v>
      </c>
      <c r="E12" s="44"/>
      <c r="F12" s="24">
        <f t="shared" si="2"/>
        <v>662458.87</v>
      </c>
      <c r="G12" s="25">
        <f t="shared" si="3"/>
        <v>0</v>
      </c>
      <c r="H12" s="43"/>
      <c r="I12" s="44"/>
      <c r="J12" s="27">
        <f t="shared" si="4"/>
        <v>662458.87</v>
      </c>
      <c r="K12" s="25">
        <f t="shared" si="5"/>
        <v>0</v>
      </c>
      <c r="L12" s="18">
        <f t="shared" si="6"/>
        <v>662458.87</v>
      </c>
      <c r="M12" s="19">
        <f t="shared" si="7"/>
        <v>0</v>
      </c>
      <c r="N12" s="22">
        <f t="shared" si="0"/>
        <v>0</v>
      </c>
      <c r="O12" s="23">
        <f t="shared" si="1"/>
        <v>0</v>
      </c>
    </row>
    <row r="13" spans="1:15" customFormat="1">
      <c r="A13" s="54">
        <v>1</v>
      </c>
      <c r="B13" s="32" t="s">
        <v>13</v>
      </c>
      <c r="C13" s="9" t="s">
        <v>235</v>
      </c>
      <c r="D13" s="43">
        <v>5127445</v>
      </c>
      <c r="E13" s="44"/>
      <c r="F13" s="24">
        <f t="shared" si="2"/>
        <v>5127445</v>
      </c>
      <c r="G13" s="25">
        <f t="shared" si="3"/>
        <v>0</v>
      </c>
      <c r="H13" s="43"/>
      <c r="I13" s="44"/>
      <c r="J13" s="27">
        <f t="shared" si="4"/>
        <v>5127445</v>
      </c>
      <c r="K13" s="25">
        <f t="shared" si="5"/>
        <v>0</v>
      </c>
      <c r="L13" s="18">
        <f t="shared" si="6"/>
        <v>5127445</v>
      </c>
      <c r="M13" s="19">
        <f t="shared" si="7"/>
        <v>0</v>
      </c>
      <c r="N13" s="22">
        <f t="shared" si="0"/>
        <v>0</v>
      </c>
      <c r="O13" s="23">
        <f t="shared" si="1"/>
        <v>0</v>
      </c>
    </row>
    <row r="14" spans="1:15" customFormat="1">
      <c r="A14" s="54">
        <v>1</v>
      </c>
      <c r="B14" s="32" t="s">
        <v>14</v>
      </c>
      <c r="C14" s="9" t="s">
        <v>236</v>
      </c>
      <c r="D14" s="43"/>
      <c r="E14" s="44"/>
      <c r="F14" s="24">
        <f t="shared" si="2"/>
        <v>0</v>
      </c>
      <c r="G14" s="25">
        <f t="shared" si="3"/>
        <v>0</v>
      </c>
      <c r="H14" s="43"/>
      <c r="I14" s="44"/>
      <c r="J14" s="27">
        <f t="shared" si="4"/>
        <v>0</v>
      </c>
      <c r="K14" s="25">
        <f t="shared" si="5"/>
        <v>0</v>
      </c>
      <c r="L14" s="18">
        <f t="shared" si="6"/>
        <v>0</v>
      </c>
      <c r="M14" s="19">
        <f t="shared" si="7"/>
        <v>0</v>
      </c>
      <c r="N14" s="22">
        <f t="shared" si="0"/>
        <v>0</v>
      </c>
      <c r="O14" s="23">
        <f t="shared" si="1"/>
        <v>0</v>
      </c>
    </row>
    <row r="15" spans="1:15" customFormat="1">
      <c r="A15" s="54">
        <v>1</v>
      </c>
      <c r="B15" s="32" t="s">
        <v>15</v>
      </c>
      <c r="C15" s="9" t="s">
        <v>237</v>
      </c>
      <c r="D15" s="43"/>
      <c r="E15" s="44"/>
      <c r="F15" s="24">
        <f t="shared" si="2"/>
        <v>0</v>
      </c>
      <c r="G15" s="25">
        <f t="shared" si="3"/>
        <v>0</v>
      </c>
      <c r="H15" s="43"/>
      <c r="I15" s="44"/>
      <c r="J15" s="27">
        <f t="shared" si="4"/>
        <v>0</v>
      </c>
      <c r="K15" s="25">
        <f t="shared" si="5"/>
        <v>0</v>
      </c>
      <c r="L15" s="18">
        <f t="shared" si="6"/>
        <v>0</v>
      </c>
      <c r="M15" s="19">
        <f t="shared" si="7"/>
        <v>0</v>
      </c>
      <c r="N15" s="22">
        <f t="shared" si="0"/>
        <v>0</v>
      </c>
      <c r="O15" s="23">
        <f t="shared" si="1"/>
        <v>0</v>
      </c>
    </row>
    <row r="16" spans="1:15" customFormat="1">
      <c r="A16" s="54">
        <v>1</v>
      </c>
      <c r="B16" s="32" t="s">
        <v>16</v>
      </c>
      <c r="C16" s="9" t="s">
        <v>238</v>
      </c>
      <c r="D16" s="43"/>
      <c r="E16" s="44"/>
      <c r="F16" s="24">
        <f t="shared" si="2"/>
        <v>0</v>
      </c>
      <c r="G16" s="25">
        <f t="shared" si="3"/>
        <v>0</v>
      </c>
      <c r="H16" s="43"/>
      <c r="I16" s="44"/>
      <c r="J16" s="27">
        <f t="shared" si="4"/>
        <v>0</v>
      </c>
      <c r="K16" s="25">
        <f t="shared" si="5"/>
        <v>0</v>
      </c>
      <c r="L16" s="18">
        <f t="shared" si="6"/>
        <v>0</v>
      </c>
      <c r="M16" s="19">
        <f t="shared" si="7"/>
        <v>0</v>
      </c>
      <c r="N16" s="22">
        <f t="shared" si="0"/>
        <v>0</v>
      </c>
      <c r="O16" s="23">
        <f t="shared" si="1"/>
        <v>0</v>
      </c>
    </row>
    <row r="17" spans="1:15" customFormat="1">
      <c r="A17" s="54">
        <v>1</v>
      </c>
      <c r="B17" s="32" t="s">
        <v>17</v>
      </c>
      <c r="C17" s="9" t="s">
        <v>239</v>
      </c>
      <c r="D17" s="43"/>
      <c r="E17" s="44"/>
      <c r="F17" s="24">
        <f t="shared" si="2"/>
        <v>0</v>
      </c>
      <c r="G17" s="25">
        <f t="shared" si="3"/>
        <v>0</v>
      </c>
      <c r="H17" s="43"/>
      <c r="I17" s="44"/>
      <c r="J17" s="27">
        <f t="shared" si="4"/>
        <v>0</v>
      </c>
      <c r="K17" s="25">
        <f t="shared" si="5"/>
        <v>0</v>
      </c>
      <c r="L17" s="18">
        <f t="shared" si="6"/>
        <v>0</v>
      </c>
      <c r="M17" s="19">
        <f t="shared" si="7"/>
        <v>0</v>
      </c>
      <c r="N17" s="22">
        <f t="shared" si="0"/>
        <v>0</v>
      </c>
      <c r="O17" s="23">
        <f t="shared" si="1"/>
        <v>0</v>
      </c>
    </row>
    <row r="18" spans="1:15" customFormat="1">
      <c r="A18" s="54">
        <v>1</v>
      </c>
      <c r="B18" s="32" t="s">
        <v>18</v>
      </c>
      <c r="C18" s="9" t="s">
        <v>240</v>
      </c>
      <c r="D18" s="43"/>
      <c r="E18" s="44"/>
      <c r="F18" s="24">
        <f t="shared" si="2"/>
        <v>0</v>
      </c>
      <c r="G18" s="25">
        <f t="shared" si="3"/>
        <v>0</v>
      </c>
      <c r="H18" s="43"/>
      <c r="I18" s="44"/>
      <c r="J18" s="27">
        <f t="shared" si="4"/>
        <v>0</v>
      </c>
      <c r="K18" s="25">
        <f t="shared" si="5"/>
        <v>0</v>
      </c>
      <c r="L18" s="18">
        <f t="shared" si="6"/>
        <v>0</v>
      </c>
      <c r="M18" s="19">
        <f t="shared" si="7"/>
        <v>0</v>
      </c>
      <c r="N18" s="22">
        <f t="shared" si="0"/>
        <v>0</v>
      </c>
      <c r="O18" s="23">
        <f t="shared" si="1"/>
        <v>0</v>
      </c>
    </row>
    <row r="19" spans="1:15" customFormat="1">
      <c r="A19" s="54">
        <v>6</v>
      </c>
      <c r="B19" s="32" t="s">
        <v>19</v>
      </c>
      <c r="C19" s="9" t="s">
        <v>241</v>
      </c>
      <c r="D19" s="43"/>
      <c r="E19" s="44"/>
      <c r="F19" s="24">
        <f t="shared" si="2"/>
        <v>0</v>
      </c>
      <c r="G19" s="25">
        <f t="shared" si="3"/>
        <v>0</v>
      </c>
      <c r="H19" s="43"/>
      <c r="I19" s="44"/>
      <c r="J19" s="27">
        <f t="shared" si="4"/>
        <v>0</v>
      </c>
      <c r="K19" s="25">
        <f t="shared" si="5"/>
        <v>0</v>
      </c>
      <c r="L19" s="18">
        <f t="shared" si="6"/>
        <v>0</v>
      </c>
      <c r="M19" s="19">
        <f t="shared" si="7"/>
        <v>0</v>
      </c>
      <c r="N19" s="22">
        <f t="shared" si="0"/>
        <v>0</v>
      </c>
      <c r="O19" s="23">
        <f t="shared" si="1"/>
        <v>0</v>
      </c>
    </row>
    <row r="20" spans="1:15" customFormat="1">
      <c r="A20" s="54">
        <v>1</v>
      </c>
      <c r="B20" s="32" t="s">
        <v>20</v>
      </c>
      <c r="C20" s="9" t="s">
        <v>242</v>
      </c>
      <c r="D20" s="43"/>
      <c r="E20" s="44"/>
      <c r="F20" s="24">
        <f t="shared" si="2"/>
        <v>0</v>
      </c>
      <c r="G20" s="25">
        <f t="shared" si="3"/>
        <v>0</v>
      </c>
      <c r="H20" s="43"/>
      <c r="I20" s="44"/>
      <c r="J20" s="27">
        <f t="shared" si="4"/>
        <v>0</v>
      </c>
      <c r="K20" s="25">
        <f t="shared" si="5"/>
        <v>0</v>
      </c>
      <c r="L20" s="18">
        <f t="shared" si="6"/>
        <v>0</v>
      </c>
      <c r="M20" s="19">
        <f t="shared" si="7"/>
        <v>0</v>
      </c>
      <c r="N20" s="22">
        <f t="shared" si="0"/>
        <v>0</v>
      </c>
      <c r="O20" s="23">
        <f t="shared" si="1"/>
        <v>0</v>
      </c>
    </row>
    <row r="21" spans="1:15" customFormat="1">
      <c r="A21" s="54">
        <v>1</v>
      </c>
      <c r="B21" s="32" t="s">
        <v>21</v>
      </c>
      <c r="C21" s="9" t="s">
        <v>243</v>
      </c>
      <c r="D21" s="43"/>
      <c r="E21" s="44"/>
      <c r="F21" s="24">
        <f t="shared" si="2"/>
        <v>0</v>
      </c>
      <c r="G21" s="25">
        <f t="shared" si="3"/>
        <v>0</v>
      </c>
      <c r="H21" s="43"/>
      <c r="I21" s="44"/>
      <c r="J21" s="27">
        <f t="shared" si="4"/>
        <v>0</v>
      </c>
      <c r="K21" s="25">
        <f t="shared" si="5"/>
        <v>0</v>
      </c>
      <c r="L21" s="18">
        <f t="shared" si="6"/>
        <v>0</v>
      </c>
      <c r="M21" s="19">
        <f t="shared" si="7"/>
        <v>0</v>
      </c>
      <c r="N21" s="22">
        <f t="shared" si="0"/>
        <v>0</v>
      </c>
      <c r="O21" s="23">
        <f t="shared" si="1"/>
        <v>0</v>
      </c>
    </row>
    <row r="22" spans="1:15" customFormat="1">
      <c r="A22" s="54">
        <v>1</v>
      </c>
      <c r="B22" s="32" t="s">
        <v>22</v>
      </c>
      <c r="C22" s="9" t="s">
        <v>244</v>
      </c>
      <c r="D22" s="43"/>
      <c r="E22" s="44"/>
      <c r="F22" s="24">
        <f t="shared" si="2"/>
        <v>0</v>
      </c>
      <c r="G22" s="25">
        <f t="shared" si="3"/>
        <v>0</v>
      </c>
      <c r="H22" s="43"/>
      <c r="I22" s="44"/>
      <c r="J22" s="27">
        <f t="shared" si="4"/>
        <v>0</v>
      </c>
      <c r="K22" s="25">
        <f t="shared" si="5"/>
        <v>0</v>
      </c>
      <c r="L22" s="18">
        <f t="shared" si="6"/>
        <v>0</v>
      </c>
      <c r="M22" s="19">
        <f t="shared" si="7"/>
        <v>0</v>
      </c>
      <c r="N22" s="22">
        <f t="shared" si="0"/>
        <v>0</v>
      </c>
      <c r="O22" s="23">
        <f t="shared" si="1"/>
        <v>0</v>
      </c>
    </row>
    <row r="23" spans="1:15" customFormat="1">
      <c r="A23" s="54">
        <v>1</v>
      </c>
      <c r="B23" s="32" t="s">
        <v>23</v>
      </c>
      <c r="C23" s="9" t="s">
        <v>245</v>
      </c>
      <c r="D23" s="43">
        <v>150868.79999999999</v>
      </c>
      <c r="E23" s="44"/>
      <c r="F23" s="24">
        <f t="shared" si="2"/>
        <v>150868.79999999999</v>
      </c>
      <c r="G23" s="25">
        <f t="shared" si="3"/>
        <v>0</v>
      </c>
      <c r="H23" s="43"/>
      <c r="I23" s="44"/>
      <c r="J23" s="27">
        <f t="shared" si="4"/>
        <v>150868.79999999999</v>
      </c>
      <c r="K23" s="25">
        <f t="shared" si="5"/>
        <v>0</v>
      </c>
      <c r="L23" s="18">
        <f t="shared" si="6"/>
        <v>150868.79999999999</v>
      </c>
      <c r="M23" s="19">
        <f t="shared" si="7"/>
        <v>0</v>
      </c>
      <c r="N23" s="22">
        <f t="shared" si="0"/>
        <v>0</v>
      </c>
      <c r="O23" s="23">
        <f t="shared" si="1"/>
        <v>0</v>
      </c>
    </row>
    <row r="24" spans="1:15" customFormat="1">
      <c r="A24" s="54">
        <v>1</v>
      </c>
      <c r="B24" s="32" t="s">
        <v>24</v>
      </c>
      <c r="C24" s="9" t="s">
        <v>246</v>
      </c>
      <c r="D24" s="43"/>
      <c r="E24" s="44"/>
      <c r="F24" s="24">
        <f t="shared" si="2"/>
        <v>0</v>
      </c>
      <c r="G24" s="25">
        <f t="shared" si="3"/>
        <v>0</v>
      </c>
      <c r="H24" s="43"/>
      <c r="I24" s="44"/>
      <c r="J24" s="27">
        <f t="shared" si="4"/>
        <v>0</v>
      </c>
      <c r="K24" s="25">
        <f t="shared" si="5"/>
        <v>0</v>
      </c>
      <c r="L24" s="18">
        <f t="shared" si="6"/>
        <v>0</v>
      </c>
      <c r="M24" s="19">
        <f t="shared" si="7"/>
        <v>0</v>
      </c>
      <c r="N24" s="22">
        <f t="shared" si="0"/>
        <v>0</v>
      </c>
      <c r="O24" s="23">
        <f t="shared" si="1"/>
        <v>0</v>
      </c>
    </row>
    <row r="25" spans="1:15" customFormat="1">
      <c r="A25" s="54">
        <v>1</v>
      </c>
      <c r="B25" s="32" t="s">
        <v>25</v>
      </c>
      <c r="C25" s="9" t="s">
        <v>247</v>
      </c>
      <c r="D25" s="43"/>
      <c r="E25" s="44"/>
      <c r="F25" s="24">
        <f t="shared" si="2"/>
        <v>0</v>
      </c>
      <c r="G25" s="25">
        <f t="shared" si="3"/>
        <v>0</v>
      </c>
      <c r="H25" s="43"/>
      <c r="I25" s="44"/>
      <c r="J25" s="27">
        <f t="shared" si="4"/>
        <v>0</v>
      </c>
      <c r="K25" s="25">
        <f t="shared" si="5"/>
        <v>0</v>
      </c>
      <c r="L25" s="18">
        <f t="shared" si="6"/>
        <v>0</v>
      </c>
      <c r="M25" s="19">
        <f t="shared" si="7"/>
        <v>0</v>
      </c>
      <c r="N25" s="22">
        <f t="shared" si="0"/>
        <v>0</v>
      </c>
      <c r="O25" s="23">
        <f t="shared" si="1"/>
        <v>0</v>
      </c>
    </row>
    <row r="26" spans="1:15" customFormat="1">
      <c r="A26" s="54">
        <v>1</v>
      </c>
      <c r="B26" s="32" t="s">
        <v>26</v>
      </c>
      <c r="C26" s="9" t="s">
        <v>248</v>
      </c>
      <c r="D26" s="43"/>
      <c r="E26" s="44"/>
      <c r="F26" s="24">
        <f t="shared" si="2"/>
        <v>0</v>
      </c>
      <c r="G26" s="25">
        <f t="shared" si="3"/>
        <v>0</v>
      </c>
      <c r="H26" s="43"/>
      <c r="I26" s="44"/>
      <c r="J26" s="27">
        <f t="shared" si="4"/>
        <v>0</v>
      </c>
      <c r="K26" s="25">
        <f t="shared" si="5"/>
        <v>0</v>
      </c>
      <c r="L26" s="18">
        <f t="shared" si="6"/>
        <v>0</v>
      </c>
      <c r="M26" s="19">
        <f t="shared" si="7"/>
        <v>0</v>
      </c>
      <c r="N26" s="22">
        <f t="shared" si="0"/>
        <v>0</v>
      </c>
      <c r="O26" s="23">
        <f t="shared" si="1"/>
        <v>0</v>
      </c>
    </row>
    <row r="27" spans="1:15" customFormat="1">
      <c r="A27" s="54">
        <v>1</v>
      </c>
      <c r="B27" s="32" t="s">
        <v>27</v>
      </c>
      <c r="C27" s="9" t="s">
        <v>249</v>
      </c>
      <c r="D27" s="43">
        <v>809037.6</v>
      </c>
      <c r="E27" s="44"/>
      <c r="F27" s="24">
        <f t="shared" si="2"/>
        <v>809037.6</v>
      </c>
      <c r="G27" s="25">
        <f t="shared" si="3"/>
        <v>0</v>
      </c>
      <c r="H27" s="43"/>
      <c r="I27" s="44"/>
      <c r="J27" s="27">
        <f t="shared" si="4"/>
        <v>809037.6</v>
      </c>
      <c r="K27" s="25">
        <f t="shared" si="5"/>
        <v>0</v>
      </c>
      <c r="L27" s="18">
        <f t="shared" si="6"/>
        <v>809037.6</v>
      </c>
      <c r="M27" s="19">
        <f t="shared" si="7"/>
        <v>0</v>
      </c>
      <c r="N27" s="22">
        <f t="shared" si="0"/>
        <v>0</v>
      </c>
      <c r="O27" s="23">
        <f t="shared" si="1"/>
        <v>0</v>
      </c>
    </row>
    <row r="28" spans="1:15" customFormat="1">
      <c r="A28" s="54">
        <v>1</v>
      </c>
      <c r="B28" s="32" t="s">
        <v>28</v>
      </c>
      <c r="C28" s="9" t="s">
        <v>250</v>
      </c>
      <c r="D28" s="43">
        <v>198700</v>
      </c>
      <c r="E28" s="44"/>
      <c r="F28" s="24">
        <f t="shared" si="2"/>
        <v>198700</v>
      </c>
      <c r="G28" s="25">
        <f t="shared" si="3"/>
        <v>0</v>
      </c>
      <c r="H28" s="43"/>
      <c r="I28" s="44"/>
      <c r="J28" s="27">
        <f t="shared" si="4"/>
        <v>198700</v>
      </c>
      <c r="K28" s="25">
        <f t="shared" si="5"/>
        <v>0</v>
      </c>
      <c r="L28" s="18">
        <f t="shared" si="6"/>
        <v>198700</v>
      </c>
      <c r="M28" s="19">
        <f t="shared" si="7"/>
        <v>0</v>
      </c>
      <c r="N28" s="22">
        <f t="shared" si="0"/>
        <v>0</v>
      </c>
      <c r="O28" s="23">
        <f t="shared" si="1"/>
        <v>0</v>
      </c>
    </row>
    <row r="29" spans="1:15" customFormat="1">
      <c r="A29" s="54">
        <v>1</v>
      </c>
      <c r="B29" s="32" t="s">
        <v>29</v>
      </c>
      <c r="C29" s="9" t="s">
        <v>251</v>
      </c>
      <c r="D29" s="43">
        <v>53600</v>
      </c>
      <c r="E29" s="44"/>
      <c r="F29" s="24">
        <f t="shared" si="2"/>
        <v>53600</v>
      </c>
      <c r="G29" s="25">
        <f t="shared" si="3"/>
        <v>0</v>
      </c>
      <c r="H29" s="43"/>
      <c r="I29" s="44"/>
      <c r="J29" s="27">
        <f t="shared" si="4"/>
        <v>53600</v>
      </c>
      <c r="K29" s="25">
        <f t="shared" si="5"/>
        <v>0</v>
      </c>
      <c r="L29" s="18">
        <f t="shared" si="6"/>
        <v>53600</v>
      </c>
      <c r="M29" s="19">
        <f t="shared" si="7"/>
        <v>0</v>
      </c>
      <c r="N29" s="22">
        <f t="shared" si="0"/>
        <v>0</v>
      </c>
      <c r="O29" s="23">
        <f t="shared" si="1"/>
        <v>0</v>
      </c>
    </row>
    <row r="30" spans="1:15" customFormat="1">
      <c r="A30" s="54">
        <v>1</v>
      </c>
      <c r="B30" s="32" t="s">
        <v>30</v>
      </c>
      <c r="C30" s="9" t="s">
        <v>252</v>
      </c>
      <c r="D30" s="43"/>
      <c r="E30" s="44"/>
      <c r="F30" s="24">
        <f t="shared" si="2"/>
        <v>0</v>
      </c>
      <c r="G30" s="25">
        <f t="shared" si="3"/>
        <v>0</v>
      </c>
      <c r="H30" s="43"/>
      <c r="I30" s="44"/>
      <c r="J30" s="27">
        <f t="shared" si="4"/>
        <v>0</v>
      </c>
      <c r="K30" s="25">
        <f t="shared" si="5"/>
        <v>0</v>
      </c>
      <c r="L30" s="18">
        <f t="shared" si="6"/>
        <v>0</v>
      </c>
      <c r="M30" s="19">
        <f t="shared" si="7"/>
        <v>0</v>
      </c>
      <c r="N30" s="22">
        <f t="shared" si="0"/>
        <v>0</v>
      </c>
      <c r="O30" s="23">
        <f t="shared" si="1"/>
        <v>0</v>
      </c>
    </row>
    <row r="31" spans="1:15" customFormat="1">
      <c r="A31" s="54">
        <v>1</v>
      </c>
      <c r="B31" s="32" t="s">
        <v>31</v>
      </c>
      <c r="C31" s="9" t="s">
        <v>253</v>
      </c>
      <c r="D31" s="43">
        <v>224143.34000000003</v>
      </c>
      <c r="E31" s="44"/>
      <c r="F31" s="24">
        <f t="shared" si="2"/>
        <v>224143.34000000003</v>
      </c>
      <c r="G31" s="25">
        <f t="shared" si="3"/>
        <v>0</v>
      </c>
      <c r="H31" s="43"/>
      <c r="I31" s="44"/>
      <c r="J31" s="27">
        <f t="shared" si="4"/>
        <v>224143.34000000003</v>
      </c>
      <c r="K31" s="25">
        <f t="shared" si="5"/>
        <v>0</v>
      </c>
      <c r="L31" s="18">
        <f t="shared" si="6"/>
        <v>224143.34000000003</v>
      </c>
      <c r="M31" s="19">
        <f t="shared" si="7"/>
        <v>0</v>
      </c>
      <c r="N31" s="22">
        <f t="shared" si="0"/>
        <v>0</v>
      </c>
      <c r="O31" s="23">
        <f t="shared" si="1"/>
        <v>0</v>
      </c>
    </row>
    <row r="32" spans="1:15" customFormat="1">
      <c r="A32" s="54">
        <v>1</v>
      </c>
      <c r="B32" s="32" t="s">
        <v>32</v>
      </c>
      <c r="C32" s="9" t="s">
        <v>254</v>
      </c>
      <c r="D32" s="43">
        <v>551250</v>
      </c>
      <c r="E32" s="44"/>
      <c r="F32" s="24">
        <f t="shared" si="2"/>
        <v>551250</v>
      </c>
      <c r="G32" s="25">
        <f t="shared" si="3"/>
        <v>0</v>
      </c>
      <c r="H32" s="43"/>
      <c r="I32" s="44"/>
      <c r="J32" s="27">
        <f t="shared" si="4"/>
        <v>551250</v>
      </c>
      <c r="K32" s="25">
        <f t="shared" si="5"/>
        <v>0</v>
      </c>
      <c r="L32" s="18">
        <f t="shared" si="6"/>
        <v>551250</v>
      </c>
      <c r="M32" s="19">
        <f t="shared" si="7"/>
        <v>0</v>
      </c>
      <c r="N32" s="22">
        <f t="shared" si="0"/>
        <v>0</v>
      </c>
      <c r="O32" s="23">
        <f t="shared" si="1"/>
        <v>0</v>
      </c>
    </row>
    <row r="33" spans="1:15" customFormat="1">
      <c r="A33" s="54">
        <v>1</v>
      </c>
      <c r="B33" s="32" t="s">
        <v>33</v>
      </c>
      <c r="C33" s="9" t="s">
        <v>255</v>
      </c>
      <c r="D33" s="43">
        <v>525000</v>
      </c>
      <c r="E33" s="44"/>
      <c r="F33" s="24">
        <f t="shared" si="2"/>
        <v>525000</v>
      </c>
      <c r="G33" s="25">
        <f t="shared" si="3"/>
        <v>0</v>
      </c>
      <c r="H33" s="43"/>
      <c r="I33" s="44"/>
      <c r="J33" s="27">
        <f t="shared" si="4"/>
        <v>525000</v>
      </c>
      <c r="K33" s="25">
        <f t="shared" si="5"/>
        <v>0</v>
      </c>
      <c r="L33" s="18">
        <f t="shared" si="6"/>
        <v>525000</v>
      </c>
      <c r="M33" s="19">
        <f t="shared" si="7"/>
        <v>0</v>
      </c>
      <c r="N33" s="22">
        <f t="shared" si="0"/>
        <v>0</v>
      </c>
      <c r="O33" s="23">
        <f t="shared" si="1"/>
        <v>0</v>
      </c>
    </row>
    <row r="34" spans="1:15" customFormat="1">
      <c r="A34" s="54">
        <v>6</v>
      </c>
      <c r="B34" s="32" t="s">
        <v>34</v>
      </c>
      <c r="C34" s="9" t="s">
        <v>256</v>
      </c>
      <c r="D34" s="43"/>
      <c r="E34" s="44">
        <v>468562.5</v>
      </c>
      <c r="F34" s="24">
        <f t="shared" si="2"/>
        <v>0</v>
      </c>
      <c r="G34" s="25">
        <f t="shared" si="3"/>
        <v>468562.5</v>
      </c>
      <c r="H34" s="43"/>
      <c r="I34" s="44"/>
      <c r="J34" s="27">
        <f t="shared" si="4"/>
        <v>0</v>
      </c>
      <c r="K34" s="25">
        <f t="shared" si="5"/>
        <v>468562.5</v>
      </c>
      <c r="L34" s="18">
        <f t="shared" si="6"/>
        <v>0</v>
      </c>
      <c r="M34" s="19">
        <f t="shared" si="7"/>
        <v>468562.5</v>
      </c>
      <c r="N34" s="22">
        <f t="shared" si="0"/>
        <v>0</v>
      </c>
      <c r="O34" s="23">
        <f t="shared" si="1"/>
        <v>0</v>
      </c>
    </row>
    <row r="35" spans="1:15" customFormat="1">
      <c r="A35" s="54">
        <v>1</v>
      </c>
      <c r="B35" s="32" t="s">
        <v>35</v>
      </c>
      <c r="C35" s="9" t="s">
        <v>257</v>
      </c>
      <c r="D35" s="43"/>
      <c r="E35" s="44"/>
      <c r="F35" s="24">
        <f t="shared" si="2"/>
        <v>0</v>
      </c>
      <c r="G35" s="25">
        <f t="shared" si="3"/>
        <v>0</v>
      </c>
      <c r="H35" s="43"/>
      <c r="I35" s="44"/>
      <c r="J35" s="27">
        <f t="shared" si="4"/>
        <v>0</v>
      </c>
      <c r="K35" s="25">
        <f t="shared" si="5"/>
        <v>0</v>
      </c>
      <c r="L35" s="18">
        <f t="shared" si="6"/>
        <v>0</v>
      </c>
      <c r="M35" s="19">
        <f t="shared" si="7"/>
        <v>0</v>
      </c>
      <c r="N35" s="22">
        <f t="shared" si="0"/>
        <v>0</v>
      </c>
      <c r="O35" s="23">
        <f t="shared" si="1"/>
        <v>0</v>
      </c>
    </row>
    <row r="36" spans="1:15" customFormat="1">
      <c r="A36" s="54">
        <v>1</v>
      </c>
      <c r="B36" s="32" t="s">
        <v>36</v>
      </c>
      <c r="C36" s="9" t="s">
        <v>258</v>
      </c>
      <c r="D36" s="43">
        <v>8124966.2699999996</v>
      </c>
      <c r="E36" s="44"/>
      <c r="F36" s="24">
        <f t="shared" si="2"/>
        <v>8124966.2699999996</v>
      </c>
      <c r="G36" s="25">
        <f t="shared" si="3"/>
        <v>0</v>
      </c>
      <c r="H36" s="43"/>
      <c r="I36" s="44"/>
      <c r="J36" s="27">
        <f t="shared" si="4"/>
        <v>8124966.2699999996</v>
      </c>
      <c r="K36" s="25">
        <f t="shared" si="5"/>
        <v>0</v>
      </c>
      <c r="L36" s="18">
        <f t="shared" si="6"/>
        <v>8124966.2699999996</v>
      </c>
      <c r="M36" s="19">
        <f t="shared" si="7"/>
        <v>0</v>
      </c>
      <c r="N36" s="22">
        <f t="shared" si="0"/>
        <v>0</v>
      </c>
      <c r="O36" s="23">
        <f t="shared" si="1"/>
        <v>0</v>
      </c>
    </row>
    <row r="37" spans="1:15" customFormat="1">
      <c r="A37" s="54">
        <v>6</v>
      </c>
      <c r="B37" s="32" t="s">
        <v>37</v>
      </c>
      <c r="C37" s="9" t="s">
        <v>259</v>
      </c>
      <c r="D37" s="43"/>
      <c r="E37" s="44">
        <v>1855327.44</v>
      </c>
      <c r="F37" s="24">
        <f t="shared" si="2"/>
        <v>0</v>
      </c>
      <c r="G37" s="25">
        <f t="shared" si="3"/>
        <v>1855327.44</v>
      </c>
      <c r="H37" s="43"/>
      <c r="I37" s="44"/>
      <c r="J37" s="27">
        <f t="shared" si="4"/>
        <v>0</v>
      </c>
      <c r="K37" s="25">
        <f t="shared" si="5"/>
        <v>1855327.44</v>
      </c>
      <c r="L37" s="18">
        <f t="shared" si="6"/>
        <v>0</v>
      </c>
      <c r="M37" s="19">
        <f t="shared" si="7"/>
        <v>1855327.44</v>
      </c>
      <c r="N37" s="22">
        <f t="shared" si="0"/>
        <v>0</v>
      </c>
      <c r="O37" s="23">
        <f t="shared" si="1"/>
        <v>0</v>
      </c>
    </row>
    <row r="38" spans="1:15" customFormat="1">
      <c r="A38" s="54">
        <v>1</v>
      </c>
      <c r="B38" s="32" t="s">
        <v>38</v>
      </c>
      <c r="C38" s="9" t="s">
        <v>260</v>
      </c>
      <c r="D38" s="43"/>
      <c r="E38" s="44"/>
      <c r="F38" s="24">
        <f t="shared" si="2"/>
        <v>0</v>
      </c>
      <c r="G38" s="25">
        <f t="shared" si="3"/>
        <v>0</v>
      </c>
      <c r="H38" s="43"/>
      <c r="I38" s="44"/>
      <c r="J38" s="27">
        <f t="shared" si="4"/>
        <v>0</v>
      </c>
      <c r="K38" s="25">
        <f t="shared" si="5"/>
        <v>0</v>
      </c>
      <c r="L38" s="18">
        <f t="shared" si="6"/>
        <v>0</v>
      </c>
      <c r="M38" s="19">
        <f t="shared" si="7"/>
        <v>0</v>
      </c>
      <c r="N38" s="22">
        <f t="shared" si="0"/>
        <v>0</v>
      </c>
      <c r="O38" s="23">
        <f t="shared" si="1"/>
        <v>0</v>
      </c>
    </row>
    <row r="39" spans="1:15" customFormat="1">
      <c r="A39" s="54">
        <v>6</v>
      </c>
      <c r="B39" s="32" t="s">
        <v>39</v>
      </c>
      <c r="C39" s="9" t="s">
        <v>261</v>
      </c>
      <c r="D39" s="43"/>
      <c r="E39" s="44"/>
      <c r="F39" s="24">
        <f t="shared" si="2"/>
        <v>0</v>
      </c>
      <c r="G39" s="25">
        <f t="shared" si="3"/>
        <v>0</v>
      </c>
      <c r="H39" s="43"/>
      <c r="I39" s="44"/>
      <c r="J39" s="27">
        <f t="shared" si="4"/>
        <v>0</v>
      </c>
      <c r="K39" s="25">
        <f t="shared" si="5"/>
        <v>0</v>
      </c>
      <c r="L39" s="18">
        <f t="shared" si="6"/>
        <v>0</v>
      </c>
      <c r="M39" s="19">
        <f t="shared" si="7"/>
        <v>0</v>
      </c>
      <c r="N39" s="22">
        <f t="shared" si="0"/>
        <v>0</v>
      </c>
      <c r="O39" s="23">
        <f t="shared" si="1"/>
        <v>0</v>
      </c>
    </row>
    <row r="40" spans="1:15" customFormat="1">
      <c r="A40" s="54">
        <v>1</v>
      </c>
      <c r="B40" s="32" t="s">
        <v>40</v>
      </c>
      <c r="C40" s="9" t="s">
        <v>262</v>
      </c>
      <c r="D40" s="43"/>
      <c r="E40" s="44"/>
      <c r="F40" s="24">
        <f t="shared" si="2"/>
        <v>0</v>
      </c>
      <c r="G40" s="25">
        <f t="shared" si="3"/>
        <v>0</v>
      </c>
      <c r="H40" s="43"/>
      <c r="I40" s="44"/>
      <c r="J40" s="27">
        <f t="shared" si="4"/>
        <v>0</v>
      </c>
      <c r="K40" s="25">
        <f t="shared" si="5"/>
        <v>0</v>
      </c>
      <c r="L40" s="18">
        <f t="shared" si="6"/>
        <v>0</v>
      </c>
      <c r="M40" s="19">
        <f t="shared" si="7"/>
        <v>0</v>
      </c>
      <c r="N40" s="22">
        <f t="shared" si="0"/>
        <v>0</v>
      </c>
      <c r="O40" s="23">
        <f t="shared" si="1"/>
        <v>0</v>
      </c>
    </row>
    <row r="41" spans="1:15" customFormat="1">
      <c r="A41" s="54">
        <v>6</v>
      </c>
      <c r="B41" s="32" t="s">
        <v>41</v>
      </c>
      <c r="C41" s="9" t="s">
        <v>263</v>
      </c>
      <c r="D41" s="43"/>
      <c r="E41" s="44"/>
      <c r="F41" s="24">
        <f t="shared" si="2"/>
        <v>0</v>
      </c>
      <c r="G41" s="25">
        <f t="shared" si="3"/>
        <v>0</v>
      </c>
      <c r="H41" s="43"/>
      <c r="I41" s="44"/>
      <c r="J41" s="27">
        <f t="shared" si="4"/>
        <v>0</v>
      </c>
      <c r="K41" s="25">
        <f t="shared" si="5"/>
        <v>0</v>
      </c>
      <c r="L41" s="18">
        <f t="shared" si="6"/>
        <v>0</v>
      </c>
      <c r="M41" s="19">
        <f t="shared" si="7"/>
        <v>0</v>
      </c>
      <c r="N41" s="22">
        <f t="shared" si="0"/>
        <v>0</v>
      </c>
      <c r="O41" s="23">
        <f t="shared" si="1"/>
        <v>0</v>
      </c>
    </row>
    <row r="42" spans="1:15" customFormat="1">
      <c r="A42" s="54">
        <v>1</v>
      </c>
      <c r="B42" s="32" t="s">
        <v>42</v>
      </c>
      <c r="C42" s="9" t="s">
        <v>264</v>
      </c>
      <c r="D42" s="43">
        <v>1267376</v>
      </c>
      <c r="E42" s="44"/>
      <c r="F42" s="24">
        <f t="shared" si="2"/>
        <v>1267376</v>
      </c>
      <c r="G42" s="25">
        <f t="shared" si="3"/>
        <v>0</v>
      </c>
      <c r="H42" s="43"/>
      <c r="I42" s="44"/>
      <c r="J42" s="27">
        <f t="shared" si="4"/>
        <v>1267376</v>
      </c>
      <c r="K42" s="25">
        <f t="shared" si="5"/>
        <v>0</v>
      </c>
      <c r="L42" s="18">
        <f t="shared" si="6"/>
        <v>1267376</v>
      </c>
      <c r="M42" s="19">
        <f t="shared" si="7"/>
        <v>0</v>
      </c>
      <c r="N42" s="22">
        <f t="shared" si="0"/>
        <v>0</v>
      </c>
      <c r="O42" s="23">
        <f t="shared" si="1"/>
        <v>0</v>
      </c>
    </row>
    <row r="43" spans="1:15" customFormat="1">
      <c r="A43" s="54">
        <v>6</v>
      </c>
      <c r="B43" s="32" t="s">
        <v>43</v>
      </c>
      <c r="C43" s="9" t="s">
        <v>265</v>
      </c>
      <c r="D43" s="43"/>
      <c r="E43" s="44">
        <v>942978.22999999986</v>
      </c>
      <c r="F43" s="24">
        <f t="shared" si="2"/>
        <v>0</v>
      </c>
      <c r="G43" s="25">
        <f t="shared" si="3"/>
        <v>942978.22999999986</v>
      </c>
      <c r="H43" s="43"/>
      <c r="I43" s="44"/>
      <c r="J43" s="27">
        <f t="shared" si="4"/>
        <v>0</v>
      </c>
      <c r="K43" s="25">
        <f t="shared" si="5"/>
        <v>942978.22999999986</v>
      </c>
      <c r="L43" s="18">
        <f t="shared" si="6"/>
        <v>0</v>
      </c>
      <c r="M43" s="19">
        <f t="shared" si="7"/>
        <v>942978.22999999986</v>
      </c>
      <c r="N43" s="22">
        <f t="shared" si="0"/>
        <v>0</v>
      </c>
      <c r="O43" s="23">
        <f t="shared" si="1"/>
        <v>0</v>
      </c>
    </row>
    <row r="44" spans="1:15" customFormat="1">
      <c r="A44" s="54">
        <v>1</v>
      </c>
      <c r="B44" s="32" t="s">
        <v>44</v>
      </c>
      <c r="C44" s="9" t="s">
        <v>266</v>
      </c>
      <c r="D44" s="43">
        <v>5320523.72</v>
      </c>
      <c r="E44" s="44"/>
      <c r="F44" s="24">
        <f t="shared" si="2"/>
        <v>5320523.72</v>
      </c>
      <c r="G44" s="25">
        <f t="shared" si="3"/>
        <v>0</v>
      </c>
      <c r="H44" s="43"/>
      <c r="I44" s="44"/>
      <c r="J44" s="27">
        <f t="shared" si="4"/>
        <v>5320523.72</v>
      </c>
      <c r="K44" s="25">
        <f t="shared" si="5"/>
        <v>0</v>
      </c>
      <c r="L44" s="18">
        <f t="shared" si="6"/>
        <v>5320523.72</v>
      </c>
      <c r="M44" s="19">
        <f t="shared" si="7"/>
        <v>0</v>
      </c>
      <c r="N44" s="22">
        <f t="shared" si="0"/>
        <v>0</v>
      </c>
      <c r="O44" s="23">
        <f t="shared" si="1"/>
        <v>0</v>
      </c>
    </row>
    <row r="45" spans="1:15" customFormat="1">
      <c r="A45" s="54">
        <v>6</v>
      </c>
      <c r="B45" s="32" t="s">
        <v>45</v>
      </c>
      <c r="C45" s="9" t="s">
        <v>267</v>
      </c>
      <c r="D45" s="43"/>
      <c r="E45" s="44">
        <v>4075951.4000000004</v>
      </c>
      <c r="F45" s="24">
        <f t="shared" si="2"/>
        <v>0</v>
      </c>
      <c r="G45" s="25">
        <f t="shared" si="3"/>
        <v>4075951.4000000004</v>
      </c>
      <c r="H45" s="43"/>
      <c r="I45" s="44"/>
      <c r="J45" s="27">
        <f t="shared" si="4"/>
        <v>0</v>
      </c>
      <c r="K45" s="25">
        <f t="shared" si="5"/>
        <v>4075951.4000000004</v>
      </c>
      <c r="L45" s="18">
        <f t="shared" si="6"/>
        <v>0</v>
      </c>
      <c r="M45" s="19">
        <f t="shared" si="7"/>
        <v>4075951.4000000004</v>
      </c>
      <c r="N45" s="22">
        <f t="shared" si="0"/>
        <v>0</v>
      </c>
      <c r="O45" s="23">
        <f t="shared" si="1"/>
        <v>0</v>
      </c>
    </row>
    <row r="46" spans="1:15" customFormat="1">
      <c r="A46" s="54">
        <v>1</v>
      </c>
      <c r="B46" s="32" t="s">
        <v>46</v>
      </c>
      <c r="C46" s="9" t="s">
        <v>268</v>
      </c>
      <c r="D46" s="43">
        <v>58765</v>
      </c>
      <c r="E46" s="44"/>
      <c r="F46" s="24">
        <f t="shared" si="2"/>
        <v>58765</v>
      </c>
      <c r="G46" s="25">
        <f t="shared" si="3"/>
        <v>0</v>
      </c>
      <c r="H46" s="43"/>
      <c r="I46" s="44"/>
      <c r="J46" s="27">
        <f t="shared" si="4"/>
        <v>58765</v>
      </c>
      <c r="K46" s="25">
        <f t="shared" si="5"/>
        <v>0</v>
      </c>
      <c r="L46" s="18">
        <f t="shared" si="6"/>
        <v>58765</v>
      </c>
      <c r="M46" s="19">
        <f t="shared" si="7"/>
        <v>0</v>
      </c>
      <c r="N46" s="22">
        <f t="shared" si="0"/>
        <v>0</v>
      </c>
      <c r="O46" s="23">
        <f t="shared" si="1"/>
        <v>0</v>
      </c>
    </row>
    <row r="47" spans="1:15" customFormat="1">
      <c r="A47" s="54">
        <v>6</v>
      </c>
      <c r="B47" s="32" t="s">
        <v>47</v>
      </c>
      <c r="C47" s="9" t="s">
        <v>269</v>
      </c>
      <c r="D47" s="43"/>
      <c r="E47" s="44">
        <v>38082.460000000006</v>
      </c>
      <c r="F47" s="24">
        <f t="shared" si="2"/>
        <v>0</v>
      </c>
      <c r="G47" s="25">
        <f t="shared" si="3"/>
        <v>38082.460000000006</v>
      </c>
      <c r="H47" s="43"/>
      <c r="I47" s="44"/>
      <c r="J47" s="27">
        <f t="shared" si="4"/>
        <v>0</v>
      </c>
      <c r="K47" s="25">
        <f t="shared" si="5"/>
        <v>38082.460000000006</v>
      </c>
      <c r="L47" s="18">
        <f t="shared" si="6"/>
        <v>0</v>
      </c>
      <c r="M47" s="19">
        <f t="shared" si="7"/>
        <v>38082.460000000006</v>
      </c>
      <c r="N47" s="22">
        <f t="shared" si="0"/>
        <v>0</v>
      </c>
      <c r="O47" s="23">
        <f t="shared" si="1"/>
        <v>0</v>
      </c>
    </row>
    <row r="48" spans="1:15" customFormat="1">
      <c r="A48" s="54">
        <v>1</v>
      </c>
      <c r="B48" s="32" t="s">
        <v>48</v>
      </c>
      <c r="C48" s="9" t="s">
        <v>270</v>
      </c>
      <c r="D48" s="43"/>
      <c r="E48" s="44"/>
      <c r="F48" s="24">
        <f t="shared" si="2"/>
        <v>0</v>
      </c>
      <c r="G48" s="25">
        <f t="shared" si="3"/>
        <v>0</v>
      </c>
      <c r="H48" s="43"/>
      <c r="I48" s="44"/>
      <c r="J48" s="27">
        <f t="shared" si="4"/>
        <v>0</v>
      </c>
      <c r="K48" s="25">
        <f t="shared" si="5"/>
        <v>0</v>
      </c>
      <c r="L48" s="18">
        <f t="shared" si="6"/>
        <v>0</v>
      </c>
      <c r="M48" s="19">
        <f t="shared" si="7"/>
        <v>0</v>
      </c>
      <c r="N48" s="22">
        <f t="shared" si="0"/>
        <v>0</v>
      </c>
      <c r="O48" s="23">
        <f t="shared" si="1"/>
        <v>0</v>
      </c>
    </row>
    <row r="49" spans="1:15" customFormat="1">
      <c r="A49" s="54">
        <v>6</v>
      </c>
      <c r="B49" s="32" t="s">
        <v>49</v>
      </c>
      <c r="C49" s="9" t="s">
        <v>271</v>
      </c>
      <c r="D49" s="43"/>
      <c r="E49" s="44"/>
      <c r="F49" s="24">
        <f t="shared" si="2"/>
        <v>0</v>
      </c>
      <c r="G49" s="25">
        <f t="shared" si="3"/>
        <v>0</v>
      </c>
      <c r="H49" s="43"/>
      <c r="I49" s="44"/>
      <c r="J49" s="27">
        <f t="shared" si="4"/>
        <v>0</v>
      </c>
      <c r="K49" s="25">
        <f t="shared" si="5"/>
        <v>0</v>
      </c>
      <c r="L49" s="18">
        <f t="shared" si="6"/>
        <v>0</v>
      </c>
      <c r="M49" s="19">
        <f t="shared" si="7"/>
        <v>0</v>
      </c>
      <c r="N49" s="22">
        <f t="shared" si="0"/>
        <v>0</v>
      </c>
      <c r="O49" s="23">
        <f t="shared" si="1"/>
        <v>0</v>
      </c>
    </row>
    <row r="50" spans="1:15" customFormat="1">
      <c r="A50" s="54">
        <v>1</v>
      </c>
      <c r="B50" s="32" t="s">
        <v>50</v>
      </c>
      <c r="C50" s="9" t="s">
        <v>272</v>
      </c>
      <c r="D50" s="43"/>
      <c r="E50" s="44"/>
      <c r="F50" s="24">
        <f t="shared" si="2"/>
        <v>0</v>
      </c>
      <c r="G50" s="25">
        <f t="shared" si="3"/>
        <v>0</v>
      </c>
      <c r="H50" s="43"/>
      <c r="I50" s="44"/>
      <c r="J50" s="27">
        <f t="shared" si="4"/>
        <v>0</v>
      </c>
      <c r="K50" s="25">
        <f t="shared" si="5"/>
        <v>0</v>
      </c>
      <c r="L50" s="18">
        <f t="shared" si="6"/>
        <v>0</v>
      </c>
      <c r="M50" s="19">
        <f t="shared" si="7"/>
        <v>0</v>
      </c>
      <c r="N50" s="22">
        <f t="shared" si="0"/>
        <v>0</v>
      </c>
      <c r="O50" s="23">
        <f t="shared" si="1"/>
        <v>0</v>
      </c>
    </row>
    <row r="51" spans="1:15" customFormat="1">
      <c r="A51" s="54">
        <v>6</v>
      </c>
      <c r="B51" s="32" t="s">
        <v>51</v>
      </c>
      <c r="C51" s="9" t="s">
        <v>273</v>
      </c>
      <c r="D51" s="43"/>
      <c r="E51" s="44"/>
      <c r="F51" s="24">
        <f t="shared" si="2"/>
        <v>0</v>
      </c>
      <c r="G51" s="25">
        <f t="shared" si="3"/>
        <v>0</v>
      </c>
      <c r="H51" s="43"/>
      <c r="I51" s="44"/>
      <c r="J51" s="27">
        <f t="shared" si="4"/>
        <v>0</v>
      </c>
      <c r="K51" s="25">
        <f t="shared" si="5"/>
        <v>0</v>
      </c>
      <c r="L51" s="18">
        <f t="shared" si="6"/>
        <v>0</v>
      </c>
      <c r="M51" s="19">
        <f t="shared" si="7"/>
        <v>0</v>
      </c>
      <c r="N51" s="22">
        <f t="shared" si="0"/>
        <v>0</v>
      </c>
      <c r="O51" s="23">
        <f t="shared" si="1"/>
        <v>0</v>
      </c>
    </row>
    <row r="52" spans="1:15" customFormat="1">
      <c r="A52" s="54">
        <v>1</v>
      </c>
      <c r="B52" s="32" t="s">
        <v>52</v>
      </c>
      <c r="C52" s="9" t="s">
        <v>274</v>
      </c>
      <c r="D52" s="43"/>
      <c r="E52" s="44"/>
      <c r="F52" s="24">
        <f t="shared" si="2"/>
        <v>0</v>
      </c>
      <c r="G52" s="25">
        <f t="shared" si="3"/>
        <v>0</v>
      </c>
      <c r="H52" s="43"/>
      <c r="I52" s="44"/>
      <c r="J52" s="27">
        <f t="shared" si="4"/>
        <v>0</v>
      </c>
      <c r="K52" s="25">
        <f t="shared" si="5"/>
        <v>0</v>
      </c>
      <c r="L52" s="18">
        <f t="shared" si="6"/>
        <v>0</v>
      </c>
      <c r="M52" s="19">
        <f t="shared" si="7"/>
        <v>0</v>
      </c>
      <c r="N52" s="22">
        <f t="shared" si="0"/>
        <v>0</v>
      </c>
      <c r="O52" s="23">
        <f t="shared" si="1"/>
        <v>0</v>
      </c>
    </row>
    <row r="53" spans="1:15" customFormat="1">
      <c r="A53" s="54">
        <v>6</v>
      </c>
      <c r="B53" s="32" t="s">
        <v>53</v>
      </c>
      <c r="C53" s="9" t="s">
        <v>275</v>
      </c>
      <c r="D53" s="43"/>
      <c r="E53" s="44"/>
      <c r="F53" s="24">
        <f t="shared" si="2"/>
        <v>0</v>
      </c>
      <c r="G53" s="25">
        <f t="shared" si="3"/>
        <v>0</v>
      </c>
      <c r="H53" s="43"/>
      <c r="I53" s="44"/>
      <c r="J53" s="27">
        <f t="shared" si="4"/>
        <v>0</v>
      </c>
      <c r="K53" s="25">
        <f t="shared" si="5"/>
        <v>0</v>
      </c>
      <c r="L53" s="18">
        <f t="shared" si="6"/>
        <v>0</v>
      </c>
      <c r="M53" s="19">
        <f t="shared" si="7"/>
        <v>0</v>
      </c>
      <c r="N53" s="22">
        <f t="shared" si="0"/>
        <v>0</v>
      </c>
      <c r="O53" s="23">
        <f t="shared" si="1"/>
        <v>0</v>
      </c>
    </row>
    <row r="54" spans="1:15" customFormat="1">
      <c r="A54" s="54">
        <v>1</v>
      </c>
      <c r="B54" s="32" t="s">
        <v>54</v>
      </c>
      <c r="C54" s="9" t="s">
        <v>276</v>
      </c>
      <c r="D54" s="43"/>
      <c r="E54" s="44"/>
      <c r="F54" s="24">
        <f t="shared" si="2"/>
        <v>0</v>
      </c>
      <c r="G54" s="25">
        <f t="shared" si="3"/>
        <v>0</v>
      </c>
      <c r="H54" s="43"/>
      <c r="I54" s="44"/>
      <c r="J54" s="27">
        <f t="shared" si="4"/>
        <v>0</v>
      </c>
      <c r="K54" s="25">
        <f t="shared" si="5"/>
        <v>0</v>
      </c>
      <c r="L54" s="18">
        <f t="shared" si="6"/>
        <v>0</v>
      </c>
      <c r="M54" s="19">
        <f t="shared" si="7"/>
        <v>0</v>
      </c>
      <c r="N54" s="22">
        <f t="shared" si="0"/>
        <v>0</v>
      </c>
      <c r="O54" s="23">
        <f t="shared" si="1"/>
        <v>0</v>
      </c>
    </row>
    <row r="55" spans="1:15" customFormat="1">
      <c r="A55" s="54">
        <v>6</v>
      </c>
      <c r="B55" s="32" t="s">
        <v>55</v>
      </c>
      <c r="C55" s="9" t="s">
        <v>277</v>
      </c>
      <c r="D55" s="43"/>
      <c r="E55" s="44"/>
      <c r="F55" s="24">
        <f t="shared" si="2"/>
        <v>0</v>
      </c>
      <c r="G55" s="25">
        <f t="shared" si="3"/>
        <v>0</v>
      </c>
      <c r="H55" s="43"/>
      <c r="I55" s="44"/>
      <c r="J55" s="27">
        <f t="shared" si="4"/>
        <v>0</v>
      </c>
      <c r="K55" s="25">
        <f t="shared" si="5"/>
        <v>0</v>
      </c>
      <c r="L55" s="18">
        <f t="shared" si="6"/>
        <v>0</v>
      </c>
      <c r="M55" s="19">
        <f t="shared" si="7"/>
        <v>0</v>
      </c>
      <c r="N55" s="22">
        <f t="shared" si="0"/>
        <v>0</v>
      </c>
      <c r="O55" s="23">
        <f t="shared" si="1"/>
        <v>0</v>
      </c>
    </row>
    <row r="56" spans="1:15" customFormat="1">
      <c r="A56" s="54">
        <v>1</v>
      </c>
      <c r="B56" s="32" t="s">
        <v>56</v>
      </c>
      <c r="C56" s="9" t="s">
        <v>278</v>
      </c>
      <c r="D56" s="43"/>
      <c r="E56" s="44"/>
      <c r="F56" s="24">
        <f t="shared" si="2"/>
        <v>0</v>
      </c>
      <c r="G56" s="25">
        <f t="shared" si="3"/>
        <v>0</v>
      </c>
      <c r="H56" s="43"/>
      <c r="I56" s="44"/>
      <c r="J56" s="27">
        <f t="shared" si="4"/>
        <v>0</v>
      </c>
      <c r="K56" s="25">
        <f t="shared" si="5"/>
        <v>0</v>
      </c>
      <c r="L56" s="18">
        <f t="shared" si="6"/>
        <v>0</v>
      </c>
      <c r="M56" s="19">
        <f t="shared" si="7"/>
        <v>0</v>
      </c>
      <c r="N56" s="22">
        <f t="shared" si="0"/>
        <v>0</v>
      </c>
      <c r="O56" s="23">
        <f t="shared" si="1"/>
        <v>0</v>
      </c>
    </row>
    <row r="57" spans="1:15" customFormat="1">
      <c r="A57" s="54">
        <v>6</v>
      </c>
      <c r="B57" s="32" t="s">
        <v>57</v>
      </c>
      <c r="C57" s="9" t="s">
        <v>279</v>
      </c>
      <c r="D57" s="43"/>
      <c r="E57" s="44"/>
      <c r="F57" s="24">
        <f t="shared" si="2"/>
        <v>0</v>
      </c>
      <c r="G57" s="25">
        <f t="shared" si="3"/>
        <v>0</v>
      </c>
      <c r="H57" s="43"/>
      <c r="I57" s="44"/>
      <c r="J57" s="27">
        <f t="shared" si="4"/>
        <v>0</v>
      </c>
      <c r="K57" s="25">
        <f t="shared" si="5"/>
        <v>0</v>
      </c>
      <c r="L57" s="18">
        <f t="shared" si="6"/>
        <v>0</v>
      </c>
      <c r="M57" s="19">
        <f t="shared" si="7"/>
        <v>0</v>
      </c>
      <c r="N57" s="22">
        <f t="shared" si="0"/>
        <v>0</v>
      </c>
      <c r="O57" s="23">
        <f t="shared" si="1"/>
        <v>0</v>
      </c>
    </row>
    <row r="58" spans="1:15" customFormat="1">
      <c r="A58" s="54">
        <v>1</v>
      </c>
      <c r="B58" s="32" t="s">
        <v>58</v>
      </c>
      <c r="C58" s="9" t="s">
        <v>280</v>
      </c>
      <c r="D58" s="43">
        <v>14083970.4</v>
      </c>
      <c r="E58" s="44"/>
      <c r="F58" s="24">
        <f t="shared" si="2"/>
        <v>14083970.4</v>
      </c>
      <c r="G58" s="25">
        <f t="shared" si="3"/>
        <v>0</v>
      </c>
      <c r="H58" s="43"/>
      <c r="I58" s="44"/>
      <c r="J58" s="27">
        <f t="shared" si="4"/>
        <v>14083970.4</v>
      </c>
      <c r="K58" s="25">
        <f t="shared" si="5"/>
        <v>0</v>
      </c>
      <c r="L58" s="18">
        <f t="shared" si="6"/>
        <v>14083970.4</v>
      </c>
      <c r="M58" s="19">
        <f t="shared" si="7"/>
        <v>0</v>
      </c>
      <c r="N58" s="22">
        <f t="shared" si="0"/>
        <v>0</v>
      </c>
      <c r="O58" s="23">
        <f t="shared" si="1"/>
        <v>0</v>
      </c>
    </row>
    <row r="59" spans="1:15" customFormat="1">
      <c r="A59" s="54">
        <v>6</v>
      </c>
      <c r="B59" s="32" t="s">
        <v>59</v>
      </c>
      <c r="C59" s="9" t="s">
        <v>281</v>
      </c>
      <c r="D59" s="43"/>
      <c r="E59" s="44">
        <v>4678670.5699999994</v>
      </c>
      <c r="F59" s="24">
        <f t="shared" si="2"/>
        <v>0</v>
      </c>
      <c r="G59" s="25">
        <f t="shared" si="3"/>
        <v>4678670.5699999994</v>
      </c>
      <c r="H59" s="43"/>
      <c r="I59" s="44"/>
      <c r="J59" s="27">
        <f t="shared" si="4"/>
        <v>0</v>
      </c>
      <c r="K59" s="25">
        <f t="shared" si="5"/>
        <v>4678670.5699999994</v>
      </c>
      <c r="L59" s="18">
        <f t="shared" si="6"/>
        <v>0</v>
      </c>
      <c r="M59" s="19">
        <f t="shared" si="7"/>
        <v>4678670.5699999994</v>
      </c>
      <c r="N59" s="22">
        <f t="shared" si="0"/>
        <v>0</v>
      </c>
      <c r="O59" s="23">
        <f t="shared" si="1"/>
        <v>0</v>
      </c>
    </row>
    <row r="60" spans="1:15" customFormat="1">
      <c r="A60" s="54">
        <v>1</v>
      </c>
      <c r="B60" s="32" t="s">
        <v>60</v>
      </c>
      <c r="C60" s="9" t="s">
        <v>282</v>
      </c>
      <c r="D60" s="43"/>
      <c r="E60" s="44"/>
      <c r="F60" s="24">
        <f t="shared" si="2"/>
        <v>0</v>
      </c>
      <c r="G60" s="25">
        <f t="shared" si="3"/>
        <v>0</v>
      </c>
      <c r="H60" s="43"/>
      <c r="I60" s="44"/>
      <c r="J60" s="27">
        <f t="shared" si="4"/>
        <v>0</v>
      </c>
      <c r="K60" s="25">
        <f t="shared" si="5"/>
        <v>0</v>
      </c>
      <c r="L60" s="18">
        <f t="shared" si="6"/>
        <v>0</v>
      </c>
      <c r="M60" s="19">
        <f t="shared" si="7"/>
        <v>0</v>
      </c>
      <c r="N60" s="22">
        <f t="shared" si="0"/>
        <v>0</v>
      </c>
      <c r="O60" s="23">
        <f t="shared" si="1"/>
        <v>0</v>
      </c>
    </row>
    <row r="61" spans="1:15" customFormat="1">
      <c r="A61" s="54">
        <v>6</v>
      </c>
      <c r="B61" s="32" t="s">
        <v>61</v>
      </c>
      <c r="C61" s="9" t="s">
        <v>283</v>
      </c>
      <c r="D61" s="43"/>
      <c r="E61" s="44"/>
      <c r="F61" s="24">
        <f t="shared" si="2"/>
        <v>0</v>
      </c>
      <c r="G61" s="25">
        <f t="shared" si="3"/>
        <v>0</v>
      </c>
      <c r="H61" s="43"/>
      <c r="I61" s="44"/>
      <c r="J61" s="27">
        <f t="shared" si="4"/>
        <v>0</v>
      </c>
      <c r="K61" s="25">
        <f t="shared" si="5"/>
        <v>0</v>
      </c>
      <c r="L61" s="18">
        <f t="shared" si="6"/>
        <v>0</v>
      </c>
      <c r="M61" s="19">
        <f t="shared" si="7"/>
        <v>0</v>
      </c>
      <c r="N61" s="22">
        <f t="shared" si="0"/>
        <v>0</v>
      </c>
      <c r="O61" s="23">
        <f t="shared" si="1"/>
        <v>0</v>
      </c>
    </row>
    <row r="62" spans="1:15" customFormat="1">
      <c r="A62" s="54">
        <v>1</v>
      </c>
      <c r="B62" s="32" t="s">
        <v>62</v>
      </c>
      <c r="C62" s="9" t="s">
        <v>284</v>
      </c>
      <c r="D62" s="43">
        <v>4244500</v>
      </c>
      <c r="E62" s="44"/>
      <c r="F62" s="24">
        <f t="shared" si="2"/>
        <v>4244500</v>
      </c>
      <c r="G62" s="25">
        <f t="shared" si="3"/>
        <v>0</v>
      </c>
      <c r="H62" s="43"/>
      <c r="I62" s="44"/>
      <c r="J62" s="27">
        <f t="shared" si="4"/>
        <v>4244500</v>
      </c>
      <c r="K62" s="25">
        <f t="shared" si="5"/>
        <v>0</v>
      </c>
      <c r="L62" s="18">
        <f t="shared" si="6"/>
        <v>4244500</v>
      </c>
      <c r="M62" s="19">
        <f t="shared" si="7"/>
        <v>0</v>
      </c>
      <c r="N62" s="22">
        <f t="shared" si="0"/>
        <v>0</v>
      </c>
      <c r="O62" s="23">
        <f t="shared" si="1"/>
        <v>0</v>
      </c>
    </row>
    <row r="63" spans="1:15" customFormat="1">
      <c r="A63" s="54">
        <v>6</v>
      </c>
      <c r="B63" s="32" t="s">
        <v>63</v>
      </c>
      <c r="C63" s="9" t="s">
        <v>285</v>
      </c>
      <c r="D63" s="43"/>
      <c r="E63" s="44">
        <v>2784085.7199999997</v>
      </c>
      <c r="F63" s="24">
        <f t="shared" si="2"/>
        <v>0</v>
      </c>
      <c r="G63" s="25">
        <f t="shared" si="3"/>
        <v>2784085.7199999997</v>
      </c>
      <c r="H63" s="43"/>
      <c r="I63" s="44"/>
      <c r="J63" s="27">
        <f t="shared" si="4"/>
        <v>0</v>
      </c>
      <c r="K63" s="25">
        <f t="shared" si="5"/>
        <v>2784085.7199999997</v>
      </c>
      <c r="L63" s="18">
        <f t="shared" si="6"/>
        <v>0</v>
      </c>
      <c r="M63" s="19">
        <f t="shared" si="7"/>
        <v>2784085.7199999997</v>
      </c>
      <c r="N63" s="22">
        <f t="shared" si="0"/>
        <v>0</v>
      </c>
      <c r="O63" s="23">
        <f t="shared" si="1"/>
        <v>0</v>
      </c>
    </row>
    <row r="64" spans="1:15" customFormat="1">
      <c r="A64" s="54">
        <v>1</v>
      </c>
      <c r="B64" s="32" t="s">
        <v>64</v>
      </c>
      <c r="C64" s="9" t="s">
        <v>286</v>
      </c>
      <c r="D64" s="43"/>
      <c r="E64" s="44"/>
      <c r="F64" s="24">
        <f t="shared" si="2"/>
        <v>0</v>
      </c>
      <c r="G64" s="25">
        <f t="shared" si="3"/>
        <v>0</v>
      </c>
      <c r="H64" s="43"/>
      <c r="I64" s="44"/>
      <c r="J64" s="27">
        <f t="shared" si="4"/>
        <v>0</v>
      </c>
      <c r="K64" s="25">
        <f t="shared" si="5"/>
        <v>0</v>
      </c>
      <c r="L64" s="18">
        <f t="shared" si="6"/>
        <v>0</v>
      </c>
      <c r="M64" s="19">
        <f t="shared" si="7"/>
        <v>0</v>
      </c>
      <c r="N64" s="22">
        <f t="shared" si="0"/>
        <v>0</v>
      </c>
      <c r="O64" s="23">
        <f t="shared" si="1"/>
        <v>0</v>
      </c>
    </row>
    <row r="65" spans="1:15" customFormat="1">
      <c r="A65" s="54">
        <v>6</v>
      </c>
      <c r="B65" s="32" t="s">
        <v>65</v>
      </c>
      <c r="C65" s="9" t="s">
        <v>287</v>
      </c>
      <c r="D65" s="43"/>
      <c r="E65" s="44"/>
      <c r="F65" s="24">
        <f t="shared" si="2"/>
        <v>0</v>
      </c>
      <c r="G65" s="25">
        <f t="shared" si="3"/>
        <v>0</v>
      </c>
      <c r="H65" s="43"/>
      <c r="I65" s="44"/>
      <c r="J65" s="27">
        <f t="shared" si="4"/>
        <v>0</v>
      </c>
      <c r="K65" s="25">
        <f t="shared" si="5"/>
        <v>0</v>
      </c>
      <c r="L65" s="18">
        <f t="shared" si="6"/>
        <v>0</v>
      </c>
      <c r="M65" s="19">
        <f t="shared" si="7"/>
        <v>0</v>
      </c>
      <c r="N65" s="22">
        <f t="shared" si="0"/>
        <v>0</v>
      </c>
      <c r="O65" s="23">
        <f t="shared" si="1"/>
        <v>0</v>
      </c>
    </row>
    <row r="66" spans="1:15" customFormat="1">
      <c r="A66" s="54">
        <v>1</v>
      </c>
      <c r="B66" s="32" t="s">
        <v>66</v>
      </c>
      <c r="C66" s="9" t="s">
        <v>288</v>
      </c>
      <c r="D66" s="43">
        <v>1494617.21</v>
      </c>
      <c r="E66" s="44"/>
      <c r="F66" s="24">
        <f t="shared" si="2"/>
        <v>1494617.21</v>
      </c>
      <c r="G66" s="25">
        <f t="shared" si="3"/>
        <v>0</v>
      </c>
      <c r="H66" s="43"/>
      <c r="I66" s="44"/>
      <c r="J66" s="27">
        <f t="shared" si="4"/>
        <v>1494617.21</v>
      </c>
      <c r="K66" s="25">
        <f t="shared" si="5"/>
        <v>0</v>
      </c>
      <c r="L66" s="18">
        <f t="shared" si="6"/>
        <v>1494617.21</v>
      </c>
      <c r="M66" s="19">
        <f t="shared" si="7"/>
        <v>0</v>
      </c>
      <c r="N66" s="22">
        <f t="shared" si="0"/>
        <v>0</v>
      </c>
      <c r="O66" s="23">
        <f t="shared" si="1"/>
        <v>0</v>
      </c>
    </row>
    <row r="67" spans="1:15" customFormat="1">
      <c r="A67" s="54">
        <v>6</v>
      </c>
      <c r="B67" s="32" t="s">
        <v>67</v>
      </c>
      <c r="C67" s="9" t="s">
        <v>289</v>
      </c>
      <c r="D67" s="43"/>
      <c r="E67" s="44">
        <v>491008.38999999996</v>
      </c>
      <c r="F67" s="24">
        <f t="shared" si="2"/>
        <v>0</v>
      </c>
      <c r="G67" s="25">
        <f t="shared" si="3"/>
        <v>491008.38999999996</v>
      </c>
      <c r="H67" s="43"/>
      <c r="I67" s="44"/>
      <c r="J67" s="27">
        <f t="shared" si="4"/>
        <v>0</v>
      </c>
      <c r="K67" s="25">
        <f t="shared" si="5"/>
        <v>491008.38999999996</v>
      </c>
      <c r="L67" s="18">
        <f t="shared" si="6"/>
        <v>0</v>
      </c>
      <c r="M67" s="19">
        <f t="shared" si="7"/>
        <v>491008.38999999996</v>
      </c>
      <c r="N67" s="22">
        <f t="shared" si="0"/>
        <v>0</v>
      </c>
      <c r="O67" s="23">
        <f t="shared" si="1"/>
        <v>0</v>
      </c>
    </row>
    <row r="68" spans="1:15" customFormat="1">
      <c r="A68" s="54">
        <v>1</v>
      </c>
      <c r="B68" s="32" t="s">
        <v>68</v>
      </c>
      <c r="C68" s="9" t="s">
        <v>290</v>
      </c>
      <c r="D68" s="43"/>
      <c r="E68" s="44"/>
      <c r="F68" s="24">
        <f t="shared" si="2"/>
        <v>0</v>
      </c>
      <c r="G68" s="25">
        <f t="shared" si="3"/>
        <v>0</v>
      </c>
      <c r="H68" s="43"/>
      <c r="I68" s="44"/>
      <c r="J68" s="27">
        <f t="shared" si="4"/>
        <v>0</v>
      </c>
      <c r="K68" s="25">
        <f t="shared" si="5"/>
        <v>0</v>
      </c>
      <c r="L68" s="18">
        <f t="shared" si="6"/>
        <v>0</v>
      </c>
      <c r="M68" s="19">
        <f t="shared" si="7"/>
        <v>0</v>
      </c>
      <c r="N68" s="22">
        <f t="shared" si="0"/>
        <v>0</v>
      </c>
      <c r="O68" s="23">
        <f t="shared" si="1"/>
        <v>0</v>
      </c>
    </row>
    <row r="69" spans="1:15" customFormat="1">
      <c r="A69" s="54">
        <v>6</v>
      </c>
      <c r="B69" s="32" t="s">
        <v>69</v>
      </c>
      <c r="C69" s="9" t="s">
        <v>291</v>
      </c>
      <c r="D69" s="43"/>
      <c r="E69" s="44"/>
      <c r="F69" s="24">
        <f t="shared" si="2"/>
        <v>0</v>
      </c>
      <c r="G69" s="25">
        <f t="shared" si="3"/>
        <v>0</v>
      </c>
      <c r="H69" s="43"/>
      <c r="I69" s="44"/>
      <c r="J69" s="27">
        <f t="shared" si="4"/>
        <v>0</v>
      </c>
      <c r="K69" s="25">
        <f t="shared" si="5"/>
        <v>0</v>
      </c>
      <c r="L69" s="18">
        <f t="shared" si="6"/>
        <v>0</v>
      </c>
      <c r="M69" s="19">
        <f t="shared" si="7"/>
        <v>0</v>
      </c>
      <c r="N69" s="22">
        <f t="shared" si="0"/>
        <v>0</v>
      </c>
      <c r="O69" s="23">
        <f t="shared" si="1"/>
        <v>0</v>
      </c>
    </row>
    <row r="70" spans="1:15" customFormat="1">
      <c r="A70" s="54">
        <v>1</v>
      </c>
      <c r="B70" s="32" t="s">
        <v>70</v>
      </c>
      <c r="C70" s="9" t="s">
        <v>292</v>
      </c>
      <c r="D70" s="43"/>
      <c r="E70" s="44"/>
      <c r="F70" s="24">
        <f t="shared" si="2"/>
        <v>0</v>
      </c>
      <c r="G70" s="25">
        <f t="shared" si="3"/>
        <v>0</v>
      </c>
      <c r="H70" s="43"/>
      <c r="I70" s="44"/>
      <c r="J70" s="27">
        <f t="shared" si="4"/>
        <v>0</v>
      </c>
      <c r="K70" s="25">
        <f t="shared" si="5"/>
        <v>0</v>
      </c>
      <c r="L70" s="18">
        <f t="shared" si="6"/>
        <v>0</v>
      </c>
      <c r="M70" s="19">
        <f t="shared" si="7"/>
        <v>0</v>
      </c>
      <c r="N70" s="22">
        <f t="shared" si="0"/>
        <v>0</v>
      </c>
      <c r="O70" s="23">
        <f t="shared" si="1"/>
        <v>0</v>
      </c>
    </row>
    <row r="71" spans="1:15" customFormat="1">
      <c r="A71" s="54">
        <v>6</v>
      </c>
      <c r="B71" s="32" t="s">
        <v>71</v>
      </c>
      <c r="C71" s="9" t="s">
        <v>293</v>
      </c>
      <c r="D71" s="43"/>
      <c r="E71" s="44"/>
      <c r="F71" s="24">
        <f t="shared" si="2"/>
        <v>0</v>
      </c>
      <c r="G71" s="25">
        <f t="shared" si="3"/>
        <v>0</v>
      </c>
      <c r="H71" s="43"/>
      <c r="I71" s="44"/>
      <c r="J71" s="27">
        <f t="shared" si="4"/>
        <v>0</v>
      </c>
      <c r="K71" s="25">
        <f t="shared" si="5"/>
        <v>0</v>
      </c>
      <c r="L71" s="18">
        <f t="shared" si="6"/>
        <v>0</v>
      </c>
      <c r="M71" s="19">
        <f t="shared" si="7"/>
        <v>0</v>
      </c>
      <c r="N71" s="22">
        <f t="shared" si="0"/>
        <v>0</v>
      </c>
      <c r="O71" s="23">
        <f t="shared" si="1"/>
        <v>0</v>
      </c>
    </row>
    <row r="72" spans="1:15" customFormat="1">
      <c r="A72" s="54">
        <v>1</v>
      </c>
      <c r="B72" s="32" t="s">
        <v>72</v>
      </c>
      <c r="C72" s="9" t="s">
        <v>294</v>
      </c>
      <c r="D72" s="43">
        <v>6521489.2300000004</v>
      </c>
      <c r="E72" s="44"/>
      <c r="F72" s="24">
        <f t="shared" si="2"/>
        <v>6521489.2300000004</v>
      </c>
      <c r="G72" s="25">
        <f t="shared" si="3"/>
        <v>0</v>
      </c>
      <c r="H72" s="43"/>
      <c r="I72" s="44"/>
      <c r="J72" s="27">
        <f t="shared" si="4"/>
        <v>6521489.2300000004</v>
      </c>
      <c r="K72" s="25">
        <f t="shared" si="5"/>
        <v>0</v>
      </c>
      <c r="L72" s="18">
        <f t="shared" si="6"/>
        <v>6521489.2300000004</v>
      </c>
      <c r="M72" s="19">
        <f t="shared" si="7"/>
        <v>0</v>
      </c>
      <c r="N72" s="22">
        <f t="shared" si="0"/>
        <v>0</v>
      </c>
      <c r="O72" s="23">
        <f t="shared" si="1"/>
        <v>0</v>
      </c>
    </row>
    <row r="73" spans="1:15" customFormat="1">
      <c r="A73" s="54">
        <v>1</v>
      </c>
      <c r="B73" s="32" t="s">
        <v>73</v>
      </c>
      <c r="C73" s="9" t="s">
        <v>295</v>
      </c>
      <c r="D73" s="43">
        <v>691130</v>
      </c>
      <c r="E73" s="44"/>
      <c r="F73" s="24">
        <f t="shared" si="2"/>
        <v>691130</v>
      </c>
      <c r="G73" s="25">
        <f t="shared" si="3"/>
        <v>0</v>
      </c>
      <c r="H73" s="43"/>
      <c r="I73" s="44"/>
      <c r="J73" s="27">
        <f t="shared" si="4"/>
        <v>691130</v>
      </c>
      <c r="K73" s="25">
        <f t="shared" si="5"/>
        <v>0</v>
      </c>
      <c r="L73" s="18">
        <f t="shared" si="6"/>
        <v>691130</v>
      </c>
      <c r="M73" s="19">
        <f t="shared" si="7"/>
        <v>0</v>
      </c>
      <c r="N73" s="22">
        <f t="shared" si="0"/>
        <v>0</v>
      </c>
      <c r="O73" s="23">
        <f t="shared" si="1"/>
        <v>0</v>
      </c>
    </row>
    <row r="74" spans="1:15" customFormat="1">
      <c r="A74" s="54">
        <v>6</v>
      </c>
      <c r="B74" s="32" t="s">
        <v>74</v>
      </c>
      <c r="C74" s="9" t="s">
        <v>296</v>
      </c>
      <c r="D74" s="43"/>
      <c r="E74" s="44">
        <v>386157.57999999996</v>
      </c>
      <c r="F74" s="24">
        <f t="shared" si="2"/>
        <v>0</v>
      </c>
      <c r="G74" s="25">
        <f t="shared" si="3"/>
        <v>386157.57999999996</v>
      </c>
      <c r="H74" s="43"/>
      <c r="I74" s="44"/>
      <c r="J74" s="27">
        <f t="shared" si="4"/>
        <v>0</v>
      </c>
      <c r="K74" s="25">
        <f t="shared" si="5"/>
        <v>386157.57999999996</v>
      </c>
      <c r="L74" s="18">
        <f t="shared" si="6"/>
        <v>0</v>
      </c>
      <c r="M74" s="19">
        <f t="shared" si="7"/>
        <v>386157.57999999996</v>
      </c>
      <c r="N74" s="22">
        <f t="shared" ref="N74:N137" si="8">IF(OR((LEFT(A74,1)="4"),(LEFT(A74,1)="5")),J74,0)</f>
        <v>0</v>
      </c>
      <c r="O74" s="23">
        <f t="shared" ref="O74:O137" si="9">IF(OR((LEFT(A74,1)="4"),(LEFT(A74,1)="5")),K74,0)</f>
        <v>0</v>
      </c>
    </row>
    <row r="75" spans="1:15" customFormat="1">
      <c r="A75" s="54">
        <v>1</v>
      </c>
      <c r="B75" s="32" t="s">
        <v>75</v>
      </c>
      <c r="C75" s="9" t="s">
        <v>297</v>
      </c>
      <c r="D75" s="43"/>
      <c r="E75" s="44"/>
      <c r="F75" s="24">
        <f t="shared" ref="F75:F137" si="10">IF(OR((LEFT(A75,1)="1"),(LEFT(A75,1)="5")),D75*1,D75*-1)</f>
        <v>0</v>
      </c>
      <c r="G75" s="25">
        <f t="shared" ref="G75:G137" si="11">IF(OR((LEFT(A75,1)="2"),(LEFT(A75,1)="3"),(LEFT(A75,1)="4"),(LEFT(A75,1)="6")),E75*1,E75*-1)</f>
        <v>0</v>
      </c>
      <c r="H75" s="43"/>
      <c r="I75" s="44"/>
      <c r="J75" s="27">
        <f t="shared" ref="J75:J137" si="12">IF(OR((LEFT(A75,1)="1"),(LEFT(A75,1)="5")),F75+H75-I75,0)</f>
        <v>0</v>
      </c>
      <c r="K75" s="25">
        <f t="shared" ref="K75:K137" si="13">IF(OR((LEFT(A75,1)="2"),(LEFT(A75,1)="3"),(LEFT(A75,1)="4"),(LEFT(A75,1)="6")),G75+I75-H75,0)</f>
        <v>0</v>
      </c>
      <c r="L75" s="18">
        <f t="shared" ref="L75:L137" si="14">IF(OR((LEFT(A75,1)="1"),(LEFT(A75,1)="2"),(LEFT(A75,1)="3"),(LEFT(A75,1)="6")),J75,0)</f>
        <v>0</v>
      </c>
      <c r="M75" s="19">
        <f t="shared" ref="M75:M137" si="15">IF(OR((LEFT(A75,1)="1"),(LEFT(A75,1)="2"),(LEFT(A75,1)="3"),(LEFT(A75,1)="6")),K75,0)</f>
        <v>0</v>
      </c>
      <c r="N75" s="22">
        <f t="shared" si="8"/>
        <v>0</v>
      </c>
      <c r="O75" s="23">
        <f t="shared" si="9"/>
        <v>0</v>
      </c>
    </row>
    <row r="76" spans="1:15" customFormat="1">
      <c r="A76" s="54">
        <v>1</v>
      </c>
      <c r="B76" s="32" t="s">
        <v>76</v>
      </c>
      <c r="C76" s="9" t="s">
        <v>298</v>
      </c>
      <c r="D76" s="43"/>
      <c r="E76" s="44"/>
      <c r="F76" s="24">
        <f t="shared" si="10"/>
        <v>0</v>
      </c>
      <c r="G76" s="25">
        <f t="shared" si="11"/>
        <v>0</v>
      </c>
      <c r="H76" s="43"/>
      <c r="I76" s="44"/>
      <c r="J76" s="27">
        <f t="shared" si="12"/>
        <v>0</v>
      </c>
      <c r="K76" s="25">
        <f t="shared" si="13"/>
        <v>0</v>
      </c>
      <c r="L76" s="18">
        <f t="shared" si="14"/>
        <v>0</v>
      </c>
      <c r="M76" s="19">
        <f t="shared" si="15"/>
        <v>0</v>
      </c>
      <c r="N76" s="22">
        <f t="shared" si="8"/>
        <v>0</v>
      </c>
      <c r="O76" s="23">
        <f t="shared" si="9"/>
        <v>0</v>
      </c>
    </row>
    <row r="77" spans="1:15" customFormat="1">
      <c r="A77" s="54">
        <v>1</v>
      </c>
      <c r="B77" s="32" t="s">
        <v>77</v>
      </c>
      <c r="C77" s="9" t="s">
        <v>299</v>
      </c>
      <c r="D77" s="43">
        <v>16019</v>
      </c>
      <c r="E77" s="44"/>
      <c r="F77" s="24">
        <f t="shared" si="10"/>
        <v>16019</v>
      </c>
      <c r="G77" s="25">
        <f t="shared" si="11"/>
        <v>0</v>
      </c>
      <c r="H77" s="43"/>
      <c r="I77" s="44"/>
      <c r="J77" s="27">
        <f t="shared" si="12"/>
        <v>16019</v>
      </c>
      <c r="K77" s="25">
        <f t="shared" si="13"/>
        <v>0</v>
      </c>
      <c r="L77" s="18">
        <f t="shared" si="14"/>
        <v>16019</v>
      </c>
      <c r="M77" s="19">
        <f t="shared" si="15"/>
        <v>0</v>
      </c>
      <c r="N77" s="22">
        <f t="shared" si="8"/>
        <v>0</v>
      </c>
      <c r="O77" s="23">
        <f t="shared" si="9"/>
        <v>0</v>
      </c>
    </row>
    <row r="78" spans="1:15" customFormat="1">
      <c r="A78" s="54">
        <v>1</v>
      </c>
      <c r="B78" s="32" t="s">
        <v>78</v>
      </c>
      <c r="C78" s="9" t="s">
        <v>300</v>
      </c>
      <c r="D78" s="43"/>
      <c r="E78" s="44"/>
      <c r="F78" s="24">
        <f t="shared" si="10"/>
        <v>0</v>
      </c>
      <c r="G78" s="25">
        <f t="shared" si="11"/>
        <v>0</v>
      </c>
      <c r="H78" s="43"/>
      <c r="I78" s="44"/>
      <c r="J78" s="27">
        <f t="shared" si="12"/>
        <v>0</v>
      </c>
      <c r="K78" s="25">
        <f t="shared" si="13"/>
        <v>0</v>
      </c>
      <c r="L78" s="18">
        <f t="shared" si="14"/>
        <v>0</v>
      </c>
      <c r="M78" s="19">
        <f t="shared" si="15"/>
        <v>0</v>
      </c>
      <c r="N78" s="22">
        <f t="shared" si="8"/>
        <v>0</v>
      </c>
      <c r="O78" s="23">
        <f t="shared" si="9"/>
        <v>0</v>
      </c>
    </row>
    <row r="79" spans="1:15" customFormat="1">
      <c r="A79" s="54">
        <v>1</v>
      </c>
      <c r="B79" s="32" t="s">
        <v>79</v>
      </c>
      <c r="C79" s="9" t="s">
        <v>301</v>
      </c>
      <c r="D79" s="43">
        <v>22453.759999999995</v>
      </c>
      <c r="E79" s="44"/>
      <c r="F79" s="24">
        <f t="shared" si="10"/>
        <v>22453.759999999995</v>
      </c>
      <c r="G79" s="25">
        <f t="shared" si="11"/>
        <v>0</v>
      </c>
      <c r="H79" s="43"/>
      <c r="I79" s="44"/>
      <c r="J79" s="27">
        <f t="shared" si="12"/>
        <v>22453.759999999995</v>
      </c>
      <c r="K79" s="25">
        <f t="shared" si="13"/>
        <v>0</v>
      </c>
      <c r="L79" s="18">
        <f t="shared" si="14"/>
        <v>22453.759999999995</v>
      </c>
      <c r="M79" s="19">
        <f t="shared" si="15"/>
        <v>0</v>
      </c>
      <c r="N79" s="22">
        <f t="shared" si="8"/>
        <v>0</v>
      </c>
      <c r="O79" s="23">
        <f t="shared" si="9"/>
        <v>0</v>
      </c>
    </row>
    <row r="80" spans="1:15" customFormat="1">
      <c r="A80" s="54">
        <v>1</v>
      </c>
      <c r="B80" s="32" t="s">
        <v>80</v>
      </c>
      <c r="C80" s="9" t="s">
        <v>302</v>
      </c>
      <c r="D80" s="43"/>
      <c r="E80" s="44"/>
      <c r="F80" s="24">
        <f t="shared" si="10"/>
        <v>0</v>
      </c>
      <c r="G80" s="25">
        <f t="shared" si="11"/>
        <v>0</v>
      </c>
      <c r="H80" s="43"/>
      <c r="I80" s="44"/>
      <c r="J80" s="27">
        <f t="shared" si="12"/>
        <v>0</v>
      </c>
      <c r="K80" s="25">
        <f t="shared" si="13"/>
        <v>0</v>
      </c>
      <c r="L80" s="18">
        <f t="shared" si="14"/>
        <v>0</v>
      </c>
      <c r="M80" s="19">
        <f t="shared" si="15"/>
        <v>0</v>
      </c>
      <c r="N80" s="22">
        <f t="shared" si="8"/>
        <v>0</v>
      </c>
      <c r="O80" s="23">
        <f t="shared" si="9"/>
        <v>0</v>
      </c>
    </row>
    <row r="81" spans="1:15" customFormat="1">
      <c r="A81" s="54">
        <v>1</v>
      </c>
      <c r="B81" s="32" t="s">
        <v>81</v>
      </c>
      <c r="C81" s="9" t="s">
        <v>303</v>
      </c>
      <c r="D81" s="43"/>
      <c r="E81" s="44"/>
      <c r="F81" s="24">
        <f t="shared" si="10"/>
        <v>0</v>
      </c>
      <c r="G81" s="25">
        <f t="shared" si="11"/>
        <v>0</v>
      </c>
      <c r="H81" s="43"/>
      <c r="I81" s="44"/>
      <c r="J81" s="27">
        <f t="shared" si="12"/>
        <v>0</v>
      </c>
      <c r="K81" s="25">
        <f t="shared" si="13"/>
        <v>0</v>
      </c>
      <c r="L81" s="18">
        <f t="shared" si="14"/>
        <v>0</v>
      </c>
      <c r="M81" s="19">
        <f t="shared" si="15"/>
        <v>0</v>
      </c>
      <c r="N81" s="22">
        <f t="shared" si="8"/>
        <v>0</v>
      </c>
      <c r="O81" s="23">
        <f t="shared" si="9"/>
        <v>0</v>
      </c>
    </row>
    <row r="82" spans="1:15" customFormat="1">
      <c r="A82" s="54">
        <v>1</v>
      </c>
      <c r="B82" s="32" t="s">
        <v>82</v>
      </c>
      <c r="C82" s="9" t="s">
        <v>304</v>
      </c>
      <c r="D82" s="43">
        <v>39612.94</v>
      </c>
      <c r="E82" s="44"/>
      <c r="F82" s="24">
        <f t="shared" si="10"/>
        <v>39612.94</v>
      </c>
      <c r="G82" s="25">
        <f t="shared" si="11"/>
        <v>0</v>
      </c>
      <c r="H82" s="43"/>
      <c r="I82" s="44"/>
      <c r="J82" s="27">
        <f t="shared" si="12"/>
        <v>39612.94</v>
      </c>
      <c r="K82" s="25">
        <f t="shared" si="13"/>
        <v>0</v>
      </c>
      <c r="L82" s="18">
        <f t="shared" si="14"/>
        <v>39612.94</v>
      </c>
      <c r="M82" s="19">
        <f t="shared" si="15"/>
        <v>0</v>
      </c>
      <c r="N82" s="22">
        <f t="shared" si="8"/>
        <v>0</v>
      </c>
      <c r="O82" s="23">
        <f t="shared" si="9"/>
        <v>0</v>
      </c>
    </row>
    <row r="83" spans="1:15" customFormat="1">
      <c r="A83" s="54">
        <v>1</v>
      </c>
      <c r="B83" s="32" t="s">
        <v>83</v>
      </c>
      <c r="C83" s="9" t="s">
        <v>305</v>
      </c>
      <c r="D83" s="43"/>
      <c r="E83" s="44"/>
      <c r="F83" s="24">
        <f t="shared" si="10"/>
        <v>0</v>
      </c>
      <c r="G83" s="25">
        <f t="shared" si="11"/>
        <v>0</v>
      </c>
      <c r="H83" s="43"/>
      <c r="I83" s="44"/>
      <c r="J83" s="27">
        <f t="shared" si="12"/>
        <v>0</v>
      </c>
      <c r="K83" s="25">
        <f t="shared" si="13"/>
        <v>0</v>
      </c>
      <c r="L83" s="18">
        <f t="shared" si="14"/>
        <v>0</v>
      </c>
      <c r="M83" s="19">
        <f t="shared" si="15"/>
        <v>0</v>
      </c>
      <c r="N83" s="22">
        <f t="shared" si="8"/>
        <v>0</v>
      </c>
      <c r="O83" s="23">
        <f t="shared" si="9"/>
        <v>0</v>
      </c>
    </row>
    <row r="84" spans="1:15" customFormat="1">
      <c r="A84" s="54">
        <v>1</v>
      </c>
      <c r="B84" s="32" t="s">
        <v>84</v>
      </c>
      <c r="C84" s="9" t="s">
        <v>306</v>
      </c>
      <c r="D84" s="43">
        <v>11510.65</v>
      </c>
      <c r="E84" s="44"/>
      <c r="F84" s="24">
        <f t="shared" si="10"/>
        <v>11510.65</v>
      </c>
      <c r="G84" s="25">
        <f t="shared" si="11"/>
        <v>0</v>
      </c>
      <c r="H84" s="43"/>
      <c r="I84" s="44"/>
      <c r="J84" s="27">
        <f t="shared" si="12"/>
        <v>11510.65</v>
      </c>
      <c r="K84" s="25">
        <f t="shared" si="13"/>
        <v>0</v>
      </c>
      <c r="L84" s="18">
        <f t="shared" si="14"/>
        <v>11510.65</v>
      </c>
      <c r="M84" s="19">
        <f t="shared" si="15"/>
        <v>0</v>
      </c>
      <c r="N84" s="22">
        <f t="shared" si="8"/>
        <v>0</v>
      </c>
      <c r="O84" s="23">
        <f t="shared" si="9"/>
        <v>0</v>
      </c>
    </row>
    <row r="85" spans="1:15" customFormat="1">
      <c r="A85" s="54">
        <v>1</v>
      </c>
      <c r="B85" s="32" t="s">
        <v>85</v>
      </c>
      <c r="C85" s="9" t="s">
        <v>307</v>
      </c>
      <c r="D85" s="43">
        <v>5000</v>
      </c>
      <c r="E85" s="44"/>
      <c r="F85" s="24">
        <f t="shared" si="10"/>
        <v>5000</v>
      </c>
      <c r="G85" s="25">
        <f t="shared" si="11"/>
        <v>0</v>
      </c>
      <c r="H85" s="43"/>
      <c r="I85" s="44"/>
      <c r="J85" s="27">
        <f t="shared" si="12"/>
        <v>5000</v>
      </c>
      <c r="K85" s="25">
        <f t="shared" si="13"/>
        <v>0</v>
      </c>
      <c r="L85" s="18">
        <f t="shared" si="14"/>
        <v>5000</v>
      </c>
      <c r="M85" s="19">
        <f t="shared" si="15"/>
        <v>0</v>
      </c>
      <c r="N85" s="22">
        <f t="shared" si="8"/>
        <v>0</v>
      </c>
      <c r="O85" s="23">
        <f t="shared" si="9"/>
        <v>0</v>
      </c>
    </row>
    <row r="86" spans="1:15" customFormat="1">
      <c r="A86" s="54">
        <v>1</v>
      </c>
      <c r="B86" s="32" t="s">
        <v>86</v>
      </c>
      <c r="C86" s="9" t="s">
        <v>308</v>
      </c>
      <c r="D86" s="43">
        <v>17952.11</v>
      </c>
      <c r="E86" s="44"/>
      <c r="F86" s="24">
        <f t="shared" si="10"/>
        <v>17952.11</v>
      </c>
      <c r="G86" s="25">
        <f t="shared" si="11"/>
        <v>0</v>
      </c>
      <c r="H86" s="43"/>
      <c r="I86" s="44"/>
      <c r="J86" s="27">
        <f t="shared" si="12"/>
        <v>17952.11</v>
      </c>
      <c r="K86" s="25">
        <f t="shared" si="13"/>
        <v>0</v>
      </c>
      <c r="L86" s="18">
        <f t="shared" si="14"/>
        <v>17952.11</v>
      </c>
      <c r="M86" s="19">
        <f t="shared" si="15"/>
        <v>0</v>
      </c>
      <c r="N86" s="22">
        <f t="shared" si="8"/>
        <v>0</v>
      </c>
      <c r="O86" s="23">
        <f t="shared" si="9"/>
        <v>0</v>
      </c>
    </row>
    <row r="87" spans="1:15" customFormat="1">
      <c r="A87" s="54">
        <v>2</v>
      </c>
      <c r="B87" s="32" t="s">
        <v>87</v>
      </c>
      <c r="C87" s="9" t="s">
        <v>309</v>
      </c>
      <c r="D87" s="43"/>
      <c r="E87" s="44">
        <v>149691.79999999993</v>
      </c>
      <c r="F87" s="24">
        <f t="shared" si="10"/>
        <v>0</v>
      </c>
      <c r="G87" s="25">
        <f t="shared" si="11"/>
        <v>149691.79999999993</v>
      </c>
      <c r="H87" s="43"/>
      <c r="I87" s="44"/>
      <c r="J87" s="27">
        <f t="shared" si="12"/>
        <v>0</v>
      </c>
      <c r="K87" s="25">
        <f t="shared" si="13"/>
        <v>149691.79999999993</v>
      </c>
      <c r="L87" s="18">
        <f t="shared" si="14"/>
        <v>0</v>
      </c>
      <c r="M87" s="19">
        <f t="shared" si="15"/>
        <v>149691.79999999993</v>
      </c>
      <c r="N87" s="22">
        <f t="shared" si="8"/>
        <v>0</v>
      </c>
      <c r="O87" s="23">
        <f t="shared" si="9"/>
        <v>0</v>
      </c>
    </row>
    <row r="88" spans="1:15" customFormat="1">
      <c r="A88" s="54">
        <v>2</v>
      </c>
      <c r="B88" s="32" t="s">
        <v>88</v>
      </c>
      <c r="C88" s="9" t="s">
        <v>310</v>
      </c>
      <c r="D88" s="43"/>
      <c r="E88" s="44"/>
      <c r="F88" s="24">
        <f t="shared" si="10"/>
        <v>0</v>
      </c>
      <c r="G88" s="25">
        <f t="shared" si="11"/>
        <v>0</v>
      </c>
      <c r="H88" s="43"/>
      <c r="I88" s="44"/>
      <c r="J88" s="27">
        <f t="shared" si="12"/>
        <v>0</v>
      </c>
      <c r="K88" s="25">
        <f t="shared" si="13"/>
        <v>0</v>
      </c>
      <c r="L88" s="18">
        <f t="shared" si="14"/>
        <v>0</v>
      </c>
      <c r="M88" s="19">
        <f t="shared" si="15"/>
        <v>0</v>
      </c>
      <c r="N88" s="22">
        <f t="shared" si="8"/>
        <v>0</v>
      </c>
      <c r="O88" s="23">
        <f t="shared" si="9"/>
        <v>0</v>
      </c>
    </row>
    <row r="89" spans="1:15" customFormat="1">
      <c r="A89" s="54">
        <v>2</v>
      </c>
      <c r="B89" s="32" t="s">
        <v>89</v>
      </c>
      <c r="C89" s="9" t="s">
        <v>311</v>
      </c>
      <c r="D89" s="43"/>
      <c r="E89" s="44">
        <v>263012.27999999997</v>
      </c>
      <c r="F89" s="24">
        <f t="shared" si="10"/>
        <v>0</v>
      </c>
      <c r="G89" s="25">
        <f t="shared" si="11"/>
        <v>263012.27999999997</v>
      </c>
      <c r="H89" s="43"/>
      <c r="I89" s="44"/>
      <c r="J89" s="27">
        <f t="shared" si="12"/>
        <v>0</v>
      </c>
      <c r="K89" s="25">
        <f t="shared" si="13"/>
        <v>263012.27999999997</v>
      </c>
      <c r="L89" s="18">
        <f t="shared" si="14"/>
        <v>0</v>
      </c>
      <c r="M89" s="19">
        <f t="shared" si="15"/>
        <v>263012.27999999997</v>
      </c>
      <c r="N89" s="22">
        <f t="shared" si="8"/>
        <v>0</v>
      </c>
      <c r="O89" s="23">
        <f t="shared" si="9"/>
        <v>0</v>
      </c>
    </row>
    <row r="90" spans="1:15" customFormat="1">
      <c r="A90" s="54">
        <v>2</v>
      </c>
      <c r="B90" s="32" t="s">
        <v>90</v>
      </c>
      <c r="C90" s="9" t="s">
        <v>312</v>
      </c>
      <c r="D90" s="43"/>
      <c r="E90" s="44"/>
      <c r="F90" s="24">
        <f t="shared" si="10"/>
        <v>0</v>
      </c>
      <c r="G90" s="25">
        <f t="shared" si="11"/>
        <v>0</v>
      </c>
      <c r="H90" s="43"/>
      <c r="I90" s="44"/>
      <c r="J90" s="27">
        <f t="shared" si="12"/>
        <v>0</v>
      </c>
      <c r="K90" s="25">
        <f t="shared" si="13"/>
        <v>0</v>
      </c>
      <c r="L90" s="18">
        <f t="shared" si="14"/>
        <v>0</v>
      </c>
      <c r="M90" s="19">
        <f t="shared" si="15"/>
        <v>0</v>
      </c>
      <c r="N90" s="22">
        <f t="shared" si="8"/>
        <v>0</v>
      </c>
      <c r="O90" s="23">
        <f t="shared" si="9"/>
        <v>0</v>
      </c>
    </row>
    <row r="91" spans="1:15" customFormat="1">
      <c r="A91" s="54">
        <v>2</v>
      </c>
      <c r="B91" s="32" t="s">
        <v>91</v>
      </c>
      <c r="C91" s="9" t="s">
        <v>313</v>
      </c>
      <c r="D91" s="43"/>
      <c r="E91" s="44">
        <v>2921</v>
      </c>
      <c r="F91" s="24">
        <f t="shared" si="10"/>
        <v>0</v>
      </c>
      <c r="G91" s="25">
        <f t="shared" si="11"/>
        <v>2921</v>
      </c>
      <c r="H91" s="43"/>
      <c r="I91" s="44"/>
      <c r="J91" s="27">
        <f t="shared" si="12"/>
        <v>0</v>
      </c>
      <c r="K91" s="25">
        <f t="shared" si="13"/>
        <v>2921</v>
      </c>
      <c r="L91" s="18">
        <f t="shared" si="14"/>
        <v>0</v>
      </c>
      <c r="M91" s="19">
        <f t="shared" si="15"/>
        <v>2921</v>
      </c>
      <c r="N91" s="22">
        <f t="shared" si="8"/>
        <v>0</v>
      </c>
      <c r="O91" s="23">
        <f t="shared" si="9"/>
        <v>0</v>
      </c>
    </row>
    <row r="92" spans="1:15" customFormat="1">
      <c r="A92" s="54">
        <v>2</v>
      </c>
      <c r="B92" s="32" t="s">
        <v>92</v>
      </c>
      <c r="C92" s="9" t="s">
        <v>314</v>
      </c>
      <c r="D92" s="43"/>
      <c r="E92" s="44"/>
      <c r="F92" s="24">
        <f t="shared" si="10"/>
        <v>0</v>
      </c>
      <c r="G92" s="25">
        <f t="shared" si="11"/>
        <v>0</v>
      </c>
      <c r="H92" s="43"/>
      <c r="I92" s="44"/>
      <c r="J92" s="27">
        <f t="shared" si="12"/>
        <v>0</v>
      </c>
      <c r="K92" s="25">
        <f t="shared" si="13"/>
        <v>0</v>
      </c>
      <c r="L92" s="18">
        <f t="shared" si="14"/>
        <v>0</v>
      </c>
      <c r="M92" s="19">
        <f t="shared" si="15"/>
        <v>0</v>
      </c>
      <c r="N92" s="22">
        <f t="shared" si="8"/>
        <v>0</v>
      </c>
      <c r="O92" s="23">
        <f t="shared" si="9"/>
        <v>0</v>
      </c>
    </row>
    <row r="93" spans="1:15" customFormat="1">
      <c r="A93" s="54">
        <v>2</v>
      </c>
      <c r="B93" s="32" t="s">
        <v>93</v>
      </c>
      <c r="C93" s="9" t="s">
        <v>315</v>
      </c>
      <c r="D93" s="43"/>
      <c r="E93" s="44"/>
      <c r="F93" s="24">
        <f t="shared" si="10"/>
        <v>0</v>
      </c>
      <c r="G93" s="25">
        <f t="shared" si="11"/>
        <v>0</v>
      </c>
      <c r="H93" s="43"/>
      <c r="I93" s="44"/>
      <c r="J93" s="27">
        <f t="shared" si="12"/>
        <v>0</v>
      </c>
      <c r="K93" s="25">
        <f t="shared" si="13"/>
        <v>0</v>
      </c>
      <c r="L93" s="18">
        <f t="shared" si="14"/>
        <v>0</v>
      </c>
      <c r="M93" s="19">
        <f t="shared" si="15"/>
        <v>0</v>
      </c>
      <c r="N93" s="22">
        <f t="shared" si="8"/>
        <v>0</v>
      </c>
      <c r="O93" s="23">
        <f t="shared" si="9"/>
        <v>0</v>
      </c>
    </row>
    <row r="94" spans="1:15" customFormat="1">
      <c r="A94" s="54">
        <v>2</v>
      </c>
      <c r="B94" s="32" t="s">
        <v>94</v>
      </c>
      <c r="C94" s="9" t="s">
        <v>316</v>
      </c>
      <c r="D94" s="43"/>
      <c r="E94" s="44"/>
      <c r="F94" s="24">
        <f t="shared" si="10"/>
        <v>0</v>
      </c>
      <c r="G94" s="25">
        <f t="shared" si="11"/>
        <v>0</v>
      </c>
      <c r="H94" s="43"/>
      <c r="I94" s="44"/>
      <c r="J94" s="27">
        <f t="shared" si="12"/>
        <v>0</v>
      </c>
      <c r="K94" s="25">
        <f t="shared" si="13"/>
        <v>0</v>
      </c>
      <c r="L94" s="18">
        <f t="shared" si="14"/>
        <v>0</v>
      </c>
      <c r="M94" s="19">
        <f t="shared" si="15"/>
        <v>0</v>
      </c>
      <c r="N94" s="22">
        <f t="shared" si="8"/>
        <v>0</v>
      </c>
      <c r="O94" s="23">
        <f t="shared" si="9"/>
        <v>0</v>
      </c>
    </row>
    <row r="95" spans="1:15" customFormat="1">
      <c r="A95" s="54">
        <v>2</v>
      </c>
      <c r="B95" s="32" t="s">
        <v>95</v>
      </c>
      <c r="C95" s="9" t="s">
        <v>317</v>
      </c>
      <c r="D95" s="43"/>
      <c r="E95" s="44"/>
      <c r="F95" s="24">
        <f t="shared" si="10"/>
        <v>0</v>
      </c>
      <c r="G95" s="25">
        <f t="shared" si="11"/>
        <v>0</v>
      </c>
      <c r="H95" s="43"/>
      <c r="I95" s="44"/>
      <c r="J95" s="27">
        <f t="shared" si="12"/>
        <v>0</v>
      </c>
      <c r="K95" s="25">
        <f t="shared" si="13"/>
        <v>0</v>
      </c>
      <c r="L95" s="18">
        <f t="shared" si="14"/>
        <v>0</v>
      </c>
      <c r="M95" s="19">
        <f t="shared" si="15"/>
        <v>0</v>
      </c>
      <c r="N95" s="22">
        <f t="shared" si="8"/>
        <v>0</v>
      </c>
      <c r="O95" s="23">
        <f t="shared" si="9"/>
        <v>0</v>
      </c>
    </row>
    <row r="96" spans="1:15" customFormat="1">
      <c r="A96" s="54">
        <v>2</v>
      </c>
      <c r="B96" s="32" t="s">
        <v>96</v>
      </c>
      <c r="C96" s="9" t="s">
        <v>318</v>
      </c>
      <c r="D96" s="43"/>
      <c r="E96" s="44">
        <v>65771.63</v>
      </c>
      <c r="F96" s="24">
        <f t="shared" si="10"/>
        <v>0</v>
      </c>
      <c r="G96" s="25">
        <f t="shared" si="11"/>
        <v>65771.63</v>
      </c>
      <c r="H96" s="43"/>
      <c r="I96" s="44"/>
      <c r="J96" s="27">
        <f t="shared" si="12"/>
        <v>0</v>
      </c>
      <c r="K96" s="25">
        <f t="shared" si="13"/>
        <v>65771.63</v>
      </c>
      <c r="L96" s="18">
        <f t="shared" si="14"/>
        <v>0</v>
      </c>
      <c r="M96" s="19">
        <f t="shared" si="15"/>
        <v>65771.63</v>
      </c>
      <c r="N96" s="22">
        <f t="shared" si="8"/>
        <v>0</v>
      </c>
      <c r="O96" s="23">
        <f t="shared" si="9"/>
        <v>0</v>
      </c>
    </row>
    <row r="97" spans="1:15" customFormat="1">
      <c r="A97" s="54">
        <v>2</v>
      </c>
      <c r="B97" s="32" t="s">
        <v>97</v>
      </c>
      <c r="C97" s="9" t="s">
        <v>319</v>
      </c>
      <c r="D97" s="43"/>
      <c r="E97" s="44">
        <v>275</v>
      </c>
      <c r="F97" s="24">
        <f t="shared" si="10"/>
        <v>0</v>
      </c>
      <c r="G97" s="25">
        <f t="shared" si="11"/>
        <v>275</v>
      </c>
      <c r="H97" s="43"/>
      <c r="I97" s="44"/>
      <c r="J97" s="27">
        <f t="shared" si="12"/>
        <v>0</v>
      </c>
      <c r="K97" s="25">
        <f t="shared" si="13"/>
        <v>275</v>
      </c>
      <c r="L97" s="18">
        <f t="shared" si="14"/>
        <v>0</v>
      </c>
      <c r="M97" s="19">
        <f t="shared" si="15"/>
        <v>275</v>
      </c>
      <c r="N97" s="22">
        <f t="shared" si="8"/>
        <v>0</v>
      </c>
      <c r="O97" s="23">
        <f t="shared" si="9"/>
        <v>0</v>
      </c>
    </row>
    <row r="98" spans="1:15" customFormat="1">
      <c r="A98" s="54">
        <v>3</v>
      </c>
      <c r="B98" s="32" t="s">
        <v>98</v>
      </c>
      <c r="C98" s="9" t="s">
        <v>320</v>
      </c>
      <c r="D98" s="43"/>
      <c r="E98" s="44">
        <v>28841414.449999999</v>
      </c>
      <c r="F98" s="24">
        <f t="shared" si="10"/>
        <v>0</v>
      </c>
      <c r="G98" s="25">
        <f t="shared" si="11"/>
        <v>28841414.449999999</v>
      </c>
      <c r="H98" s="43"/>
      <c r="I98" s="44"/>
      <c r="J98" s="27">
        <f t="shared" si="12"/>
        <v>0</v>
      </c>
      <c r="K98" s="25">
        <f t="shared" si="13"/>
        <v>28841414.449999999</v>
      </c>
      <c r="L98" s="18">
        <f t="shared" si="14"/>
        <v>0</v>
      </c>
      <c r="M98" s="19">
        <f t="shared" si="15"/>
        <v>28841414.449999999</v>
      </c>
      <c r="N98" s="22">
        <f t="shared" si="8"/>
        <v>0</v>
      </c>
      <c r="O98" s="23">
        <f t="shared" si="9"/>
        <v>0</v>
      </c>
    </row>
    <row r="99" spans="1:15" customFormat="1">
      <c r="A99" s="54">
        <v>3</v>
      </c>
      <c r="B99" s="32" t="s">
        <v>99</v>
      </c>
      <c r="C99" s="9" t="s">
        <v>321</v>
      </c>
      <c r="D99" s="43"/>
      <c r="E99" s="44"/>
      <c r="F99" s="24">
        <f t="shared" si="10"/>
        <v>0</v>
      </c>
      <c r="G99" s="25">
        <f t="shared" si="11"/>
        <v>0</v>
      </c>
      <c r="H99" s="43"/>
      <c r="I99" s="44"/>
      <c r="J99" s="27">
        <f t="shared" si="12"/>
        <v>0</v>
      </c>
      <c r="K99" s="25">
        <f t="shared" si="13"/>
        <v>0</v>
      </c>
      <c r="L99" s="18">
        <f t="shared" si="14"/>
        <v>0</v>
      </c>
      <c r="M99" s="19">
        <f t="shared" si="15"/>
        <v>0</v>
      </c>
      <c r="N99" s="22">
        <f t="shared" si="8"/>
        <v>0</v>
      </c>
      <c r="O99" s="23">
        <f t="shared" si="9"/>
        <v>0</v>
      </c>
    </row>
    <row r="100" spans="1:15" customFormat="1">
      <c r="A100" s="54">
        <v>4</v>
      </c>
      <c r="B100" s="32" t="s">
        <v>100</v>
      </c>
      <c r="C100" s="9" t="s">
        <v>322</v>
      </c>
      <c r="D100" s="43"/>
      <c r="E100" s="44">
        <v>1614000</v>
      </c>
      <c r="F100" s="24">
        <f t="shared" si="10"/>
        <v>0</v>
      </c>
      <c r="G100" s="25">
        <f t="shared" si="11"/>
        <v>1614000</v>
      </c>
      <c r="H100" s="43"/>
      <c r="I100" s="44"/>
      <c r="J100" s="27">
        <f t="shared" si="12"/>
        <v>0</v>
      </c>
      <c r="K100" s="25">
        <f t="shared" si="13"/>
        <v>1614000</v>
      </c>
      <c r="L100" s="18">
        <f t="shared" si="14"/>
        <v>0</v>
      </c>
      <c r="M100" s="19">
        <f t="shared" si="15"/>
        <v>0</v>
      </c>
      <c r="N100" s="22">
        <f t="shared" si="8"/>
        <v>0</v>
      </c>
      <c r="O100" s="23">
        <f t="shared" si="9"/>
        <v>1614000</v>
      </c>
    </row>
    <row r="101" spans="1:15" customFormat="1">
      <c r="A101" s="54">
        <v>4</v>
      </c>
      <c r="B101" s="32" t="s">
        <v>101</v>
      </c>
      <c r="C101" s="9" t="s">
        <v>323</v>
      </c>
      <c r="D101" s="43"/>
      <c r="E101" s="44">
        <v>348168</v>
      </c>
      <c r="F101" s="24">
        <f t="shared" si="10"/>
        <v>0</v>
      </c>
      <c r="G101" s="25">
        <f t="shared" si="11"/>
        <v>348168</v>
      </c>
      <c r="H101" s="43"/>
      <c r="I101" s="44"/>
      <c r="J101" s="27">
        <f t="shared" si="12"/>
        <v>0</v>
      </c>
      <c r="K101" s="25">
        <f t="shared" si="13"/>
        <v>348168</v>
      </c>
      <c r="L101" s="18">
        <f>IF(OR((LEFT(A101,1)="1"),(LEFT(A101,1)="2"),(LEFT(A101,1)="3"),(LEFT(A101,1)="6")),J101,0)</f>
        <v>0</v>
      </c>
      <c r="M101" s="19">
        <f t="shared" si="15"/>
        <v>0</v>
      </c>
      <c r="N101" s="22">
        <f t="shared" si="8"/>
        <v>0</v>
      </c>
      <c r="O101" s="23">
        <f t="shared" si="9"/>
        <v>348168</v>
      </c>
    </row>
    <row r="102" spans="1:15" customFormat="1">
      <c r="A102" s="54">
        <v>4</v>
      </c>
      <c r="B102" s="32" t="s">
        <v>102</v>
      </c>
      <c r="C102" s="9" t="s">
        <v>324</v>
      </c>
      <c r="D102" s="43"/>
      <c r="E102" s="44">
        <v>65123</v>
      </c>
      <c r="F102" s="24">
        <f t="shared" si="10"/>
        <v>0</v>
      </c>
      <c r="G102" s="25">
        <f t="shared" si="11"/>
        <v>65123</v>
      </c>
      <c r="H102" s="43"/>
      <c r="I102" s="44"/>
      <c r="J102" s="27">
        <f t="shared" si="12"/>
        <v>0</v>
      </c>
      <c r="K102" s="25">
        <f t="shared" si="13"/>
        <v>65123</v>
      </c>
      <c r="L102" s="18">
        <f t="shared" si="14"/>
        <v>0</v>
      </c>
      <c r="M102" s="19">
        <f t="shared" si="15"/>
        <v>0</v>
      </c>
      <c r="N102" s="22">
        <f t="shared" si="8"/>
        <v>0</v>
      </c>
      <c r="O102" s="23">
        <f t="shared" si="9"/>
        <v>65123</v>
      </c>
    </row>
    <row r="103" spans="1:15" customFormat="1">
      <c r="A103" s="54">
        <v>4</v>
      </c>
      <c r="B103" s="32" t="s">
        <v>103</v>
      </c>
      <c r="C103" s="9" t="s">
        <v>325</v>
      </c>
      <c r="D103" s="43"/>
      <c r="E103" s="44"/>
      <c r="F103" s="24">
        <f t="shared" si="10"/>
        <v>0</v>
      </c>
      <c r="G103" s="25">
        <f t="shared" si="11"/>
        <v>0</v>
      </c>
      <c r="H103" s="43"/>
      <c r="I103" s="44"/>
      <c r="J103" s="27">
        <f t="shared" si="12"/>
        <v>0</v>
      </c>
      <c r="K103" s="25">
        <f t="shared" si="13"/>
        <v>0</v>
      </c>
      <c r="L103" s="18">
        <f t="shared" si="14"/>
        <v>0</v>
      </c>
      <c r="M103" s="19">
        <f t="shared" si="15"/>
        <v>0</v>
      </c>
      <c r="N103" s="22">
        <f t="shared" si="8"/>
        <v>0</v>
      </c>
      <c r="O103" s="23">
        <f t="shared" si="9"/>
        <v>0</v>
      </c>
    </row>
    <row r="104" spans="1:15" customFormat="1">
      <c r="A104" s="54">
        <v>4</v>
      </c>
      <c r="B104" s="32" t="s">
        <v>104</v>
      </c>
      <c r="C104" s="9" t="s">
        <v>326</v>
      </c>
      <c r="D104" s="43"/>
      <c r="E104" s="44">
        <v>333600</v>
      </c>
      <c r="F104" s="24">
        <f t="shared" si="10"/>
        <v>0</v>
      </c>
      <c r="G104" s="25">
        <f t="shared" si="11"/>
        <v>333600</v>
      </c>
      <c r="H104" s="43"/>
      <c r="I104" s="44"/>
      <c r="J104" s="27">
        <f t="shared" si="12"/>
        <v>0</v>
      </c>
      <c r="K104" s="25">
        <f t="shared" si="13"/>
        <v>333600</v>
      </c>
      <c r="L104" s="18">
        <f t="shared" si="14"/>
        <v>0</v>
      </c>
      <c r="M104" s="19">
        <f t="shared" si="15"/>
        <v>0</v>
      </c>
      <c r="N104" s="22">
        <f t="shared" si="8"/>
        <v>0</v>
      </c>
      <c r="O104" s="23">
        <f t="shared" si="9"/>
        <v>333600</v>
      </c>
    </row>
    <row r="105" spans="1:15" customFormat="1">
      <c r="A105" s="54">
        <v>4</v>
      </c>
      <c r="B105" s="32" t="s">
        <v>105</v>
      </c>
      <c r="C105" s="9" t="s">
        <v>327</v>
      </c>
      <c r="D105" s="43"/>
      <c r="E105" s="44">
        <v>414300</v>
      </c>
      <c r="F105" s="24">
        <f t="shared" si="10"/>
        <v>0</v>
      </c>
      <c r="G105" s="25">
        <f t="shared" si="11"/>
        <v>414300</v>
      </c>
      <c r="H105" s="43"/>
      <c r="I105" s="44"/>
      <c r="J105" s="27">
        <f t="shared" si="12"/>
        <v>0</v>
      </c>
      <c r="K105" s="25">
        <f t="shared" si="13"/>
        <v>414300</v>
      </c>
      <c r="L105" s="18">
        <f t="shared" si="14"/>
        <v>0</v>
      </c>
      <c r="M105" s="19">
        <f t="shared" si="15"/>
        <v>0</v>
      </c>
      <c r="N105" s="22">
        <f t="shared" si="8"/>
        <v>0</v>
      </c>
      <c r="O105" s="23">
        <f t="shared" si="9"/>
        <v>414300</v>
      </c>
    </row>
    <row r="106" spans="1:15" customFormat="1">
      <c r="A106" s="54">
        <v>4</v>
      </c>
      <c r="B106" s="32" t="s">
        <v>106</v>
      </c>
      <c r="C106" s="9" t="s">
        <v>328</v>
      </c>
      <c r="D106" s="43"/>
      <c r="E106" s="44"/>
      <c r="F106" s="24">
        <f t="shared" si="10"/>
        <v>0</v>
      </c>
      <c r="G106" s="25">
        <f t="shared" si="11"/>
        <v>0</v>
      </c>
      <c r="H106" s="43"/>
      <c r="I106" s="44"/>
      <c r="J106" s="27">
        <f t="shared" si="12"/>
        <v>0</v>
      </c>
      <c r="K106" s="25">
        <f t="shared" si="13"/>
        <v>0</v>
      </c>
      <c r="L106" s="18">
        <f t="shared" si="14"/>
        <v>0</v>
      </c>
      <c r="M106" s="19">
        <f t="shared" si="15"/>
        <v>0</v>
      </c>
      <c r="N106" s="22">
        <f t="shared" si="8"/>
        <v>0</v>
      </c>
      <c r="O106" s="23">
        <f t="shared" si="9"/>
        <v>0</v>
      </c>
    </row>
    <row r="107" spans="1:15" customFormat="1">
      <c r="A107" s="54">
        <v>4</v>
      </c>
      <c r="B107" s="32" t="s">
        <v>107</v>
      </c>
      <c r="C107" s="9" t="s">
        <v>329</v>
      </c>
      <c r="D107" s="43"/>
      <c r="E107" s="44">
        <v>14565</v>
      </c>
      <c r="F107" s="24">
        <f t="shared" si="10"/>
        <v>0</v>
      </c>
      <c r="G107" s="25">
        <f t="shared" si="11"/>
        <v>14565</v>
      </c>
      <c r="H107" s="43"/>
      <c r="I107" s="44"/>
      <c r="J107" s="27">
        <f t="shared" si="12"/>
        <v>0</v>
      </c>
      <c r="K107" s="25">
        <f t="shared" si="13"/>
        <v>14565</v>
      </c>
      <c r="L107" s="18">
        <f t="shared" si="14"/>
        <v>0</v>
      </c>
      <c r="M107" s="19">
        <f t="shared" si="15"/>
        <v>0</v>
      </c>
      <c r="N107" s="22">
        <f t="shared" si="8"/>
        <v>0</v>
      </c>
      <c r="O107" s="23">
        <f t="shared" si="9"/>
        <v>14565</v>
      </c>
    </row>
    <row r="108" spans="1:15" customFormat="1">
      <c r="A108" s="54">
        <v>4</v>
      </c>
      <c r="B108" s="32" t="s">
        <v>108</v>
      </c>
      <c r="C108" s="9" t="s">
        <v>330</v>
      </c>
      <c r="D108" s="43"/>
      <c r="E108" s="44"/>
      <c r="F108" s="24">
        <f t="shared" si="10"/>
        <v>0</v>
      </c>
      <c r="G108" s="25">
        <f t="shared" si="11"/>
        <v>0</v>
      </c>
      <c r="H108" s="43"/>
      <c r="I108" s="44"/>
      <c r="J108" s="27">
        <f t="shared" si="12"/>
        <v>0</v>
      </c>
      <c r="K108" s="25">
        <f t="shared" si="13"/>
        <v>0</v>
      </c>
      <c r="L108" s="18">
        <f t="shared" si="14"/>
        <v>0</v>
      </c>
      <c r="M108" s="19">
        <f t="shared" si="15"/>
        <v>0</v>
      </c>
      <c r="N108" s="22">
        <f t="shared" si="8"/>
        <v>0</v>
      </c>
      <c r="O108" s="23">
        <f t="shared" si="9"/>
        <v>0</v>
      </c>
    </row>
    <row r="109" spans="1:15" customFormat="1">
      <c r="A109" s="54">
        <v>4</v>
      </c>
      <c r="B109" s="32" t="s">
        <v>109</v>
      </c>
      <c r="C109" s="9" t="s">
        <v>331</v>
      </c>
      <c r="D109" s="43"/>
      <c r="E109" s="44"/>
      <c r="F109" s="24">
        <f t="shared" si="10"/>
        <v>0</v>
      </c>
      <c r="G109" s="25">
        <f t="shared" si="11"/>
        <v>0</v>
      </c>
      <c r="H109" s="43"/>
      <c r="I109" s="44"/>
      <c r="J109" s="27">
        <f t="shared" si="12"/>
        <v>0</v>
      </c>
      <c r="K109" s="25">
        <f t="shared" si="13"/>
        <v>0</v>
      </c>
      <c r="L109" s="18">
        <f t="shared" si="14"/>
        <v>0</v>
      </c>
      <c r="M109" s="19">
        <f t="shared" si="15"/>
        <v>0</v>
      </c>
      <c r="N109" s="22">
        <f t="shared" si="8"/>
        <v>0</v>
      </c>
      <c r="O109" s="23">
        <f t="shared" si="9"/>
        <v>0</v>
      </c>
    </row>
    <row r="110" spans="1:15" customFormat="1">
      <c r="A110" s="54">
        <v>4</v>
      </c>
      <c r="B110" s="32" t="s">
        <v>110</v>
      </c>
      <c r="C110" s="9" t="s">
        <v>332</v>
      </c>
      <c r="D110" s="43"/>
      <c r="E110" s="44"/>
      <c r="F110" s="24">
        <f t="shared" si="10"/>
        <v>0</v>
      </c>
      <c r="G110" s="25">
        <f t="shared" si="11"/>
        <v>0</v>
      </c>
      <c r="H110" s="43"/>
      <c r="I110" s="44"/>
      <c r="J110" s="27">
        <f t="shared" si="12"/>
        <v>0</v>
      </c>
      <c r="K110" s="25">
        <f t="shared" si="13"/>
        <v>0</v>
      </c>
      <c r="L110" s="18">
        <f t="shared" si="14"/>
        <v>0</v>
      </c>
      <c r="M110" s="19">
        <f t="shared" si="15"/>
        <v>0</v>
      </c>
      <c r="N110" s="22">
        <f t="shared" si="8"/>
        <v>0</v>
      </c>
      <c r="O110" s="23">
        <f t="shared" si="9"/>
        <v>0</v>
      </c>
    </row>
    <row r="111" spans="1:15" customFormat="1">
      <c r="A111" s="54">
        <v>4</v>
      </c>
      <c r="B111" s="32" t="s">
        <v>111</v>
      </c>
      <c r="C111" s="9" t="s">
        <v>333</v>
      </c>
      <c r="D111" s="43"/>
      <c r="E111" s="44"/>
      <c r="F111" s="24">
        <f t="shared" si="10"/>
        <v>0</v>
      </c>
      <c r="G111" s="25">
        <f t="shared" si="11"/>
        <v>0</v>
      </c>
      <c r="H111" s="43"/>
      <c r="I111" s="44"/>
      <c r="J111" s="27">
        <f t="shared" si="12"/>
        <v>0</v>
      </c>
      <c r="K111" s="25">
        <f t="shared" si="13"/>
        <v>0</v>
      </c>
      <c r="L111" s="18">
        <f t="shared" si="14"/>
        <v>0</v>
      </c>
      <c r="M111" s="19">
        <f t="shared" si="15"/>
        <v>0</v>
      </c>
      <c r="N111" s="22">
        <f t="shared" si="8"/>
        <v>0</v>
      </c>
      <c r="O111" s="23">
        <f t="shared" si="9"/>
        <v>0</v>
      </c>
    </row>
    <row r="112" spans="1:15" customFormat="1">
      <c r="A112" s="54">
        <v>4</v>
      </c>
      <c r="B112" s="32" t="s">
        <v>112</v>
      </c>
      <c r="C112" s="9" t="s">
        <v>334</v>
      </c>
      <c r="D112" s="43"/>
      <c r="E112" s="44"/>
      <c r="F112" s="24">
        <f t="shared" si="10"/>
        <v>0</v>
      </c>
      <c r="G112" s="25">
        <f t="shared" si="11"/>
        <v>0</v>
      </c>
      <c r="H112" s="43"/>
      <c r="I112" s="44"/>
      <c r="J112" s="27">
        <f t="shared" si="12"/>
        <v>0</v>
      </c>
      <c r="K112" s="25">
        <f t="shared" si="13"/>
        <v>0</v>
      </c>
      <c r="L112" s="18">
        <f t="shared" si="14"/>
        <v>0</v>
      </c>
      <c r="M112" s="19">
        <f t="shared" si="15"/>
        <v>0</v>
      </c>
      <c r="N112" s="22">
        <f t="shared" si="8"/>
        <v>0</v>
      </c>
      <c r="O112" s="23">
        <f t="shared" si="9"/>
        <v>0</v>
      </c>
    </row>
    <row r="113" spans="1:15" customFormat="1">
      <c r="A113" s="54">
        <v>4</v>
      </c>
      <c r="B113" s="32" t="s">
        <v>113</v>
      </c>
      <c r="C113" s="9" t="s">
        <v>335</v>
      </c>
      <c r="D113" s="43"/>
      <c r="E113" s="44"/>
      <c r="F113" s="24">
        <f t="shared" si="10"/>
        <v>0</v>
      </c>
      <c r="G113" s="25">
        <f t="shared" si="11"/>
        <v>0</v>
      </c>
      <c r="H113" s="43"/>
      <c r="I113" s="44"/>
      <c r="J113" s="27">
        <f t="shared" si="12"/>
        <v>0</v>
      </c>
      <c r="K113" s="25">
        <f t="shared" si="13"/>
        <v>0</v>
      </c>
      <c r="L113" s="18">
        <f t="shared" si="14"/>
        <v>0</v>
      </c>
      <c r="M113" s="19">
        <f t="shared" si="15"/>
        <v>0</v>
      </c>
      <c r="N113" s="22">
        <f t="shared" si="8"/>
        <v>0</v>
      </c>
      <c r="O113" s="23">
        <f t="shared" si="9"/>
        <v>0</v>
      </c>
    </row>
    <row r="114" spans="1:15" customFormat="1">
      <c r="A114" s="54">
        <v>4</v>
      </c>
      <c r="B114" s="32" t="s">
        <v>114</v>
      </c>
      <c r="C114" s="9" t="s">
        <v>336</v>
      </c>
      <c r="D114" s="43"/>
      <c r="E114" s="44"/>
      <c r="F114" s="24">
        <f t="shared" si="10"/>
        <v>0</v>
      </c>
      <c r="G114" s="25">
        <f t="shared" si="11"/>
        <v>0</v>
      </c>
      <c r="H114" s="43"/>
      <c r="I114" s="44"/>
      <c r="J114" s="27">
        <f t="shared" si="12"/>
        <v>0</v>
      </c>
      <c r="K114" s="25">
        <f t="shared" si="13"/>
        <v>0</v>
      </c>
      <c r="L114" s="18">
        <f t="shared" si="14"/>
        <v>0</v>
      </c>
      <c r="M114" s="19">
        <f t="shared" si="15"/>
        <v>0</v>
      </c>
      <c r="N114" s="22">
        <f t="shared" si="8"/>
        <v>0</v>
      </c>
      <c r="O114" s="23">
        <f t="shared" si="9"/>
        <v>0</v>
      </c>
    </row>
    <row r="115" spans="1:15" customFormat="1">
      <c r="A115" s="54">
        <v>4</v>
      </c>
      <c r="B115" s="32" t="s">
        <v>115</v>
      </c>
      <c r="C115" s="9" t="s">
        <v>337</v>
      </c>
      <c r="D115" s="43"/>
      <c r="E115" s="44">
        <v>203000</v>
      </c>
      <c r="F115" s="24">
        <f t="shared" si="10"/>
        <v>0</v>
      </c>
      <c r="G115" s="25">
        <f t="shared" si="11"/>
        <v>203000</v>
      </c>
      <c r="H115" s="43"/>
      <c r="I115" s="44"/>
      <c r="J115" s="27">
        <f t="shared" si="12"/>
        <v>0</v>
      </c>
      <c r="K115" s="25">
        <f t="shared" si="13"/>
        <v>203000</v>
      </c>
      <c r="L115" s="18">
        <f t="shared" si="14"/>
        <v>0</v>
      </c>
      <c r="M115" s="19">
        <f t="shared" si="15"/>
        <v>0</v>
      </c>
      <c r="N115" s="22">
        <f t="shared" si="8"/>
        <v>0</v>
      </c>
      <c r="O115" s="23">
        <f t="shared" si="9"/>
        <v>203000</v>
      </c>
    </row>
    <row r="116" spans="1:15" customFormat="1">
      <c r="A116" s="54">
        <v>4</v>
      </c>
      <c r="B116" s="32" t="s">
        <v>116</v>
      </c>
      <c r="C116" s="9" t="s">
        <v>338</v>
      </c>
      <c r="D116" s="43"/>
      <c r="E116" s="44">
        <v>2134689</v>
      </c>
      <c r="F116" s="24">
        <f t="shared" si="10"/>
        <v>0</v>
      </c>
      <c r="G116" s="25">
        <f t="shared" si="11"/>
        <v>2134689</v>
      </c>
      <c r="H116" s="43"/>
      <c r="I116" s="44"/>
      <c r="J116" s="27">
        <f t="shared" si="12"/>
        <v>0</v>
      </c>
      <c r="K116" s="25">
        <f t="shared" si="13"/>
        <v>2134689</v>
      </c>
      <c r="L116" s="18">
        <f t="shared" si="14"/>
        <v>0</v>
      </c>
      <c r="M116" s="19">
        <f t="shared" si="15"/>
        <v>0</v>
      </c>
      <c r="N116" s="22">
        <f t="shared" si="8"/>
        <v>0</v>
      </c>
      <c r="O116" s="23">
        <f t="shared" si="9"/>
        <v>2134689</v>
      </c>
    </row>
    <row r="117" spans="1:15" customFormat="1">
      <c r="A117" s="54">
        <v>4</v>
      </c>
      <c r="B117" s="32" t="s">
        <v>117</v>
      </c>
      <c r="C117" s="9" t="s">
        <v>339</v>
      </c>
      <c r="D117" s="43"/>
      <c r="E117" s="44"/>
      <c r="F117" s="24">
        <f t="shared" si="10"/>
        <v>0</v>
      </c>
      <c r="G117" s="25">
        <f t="shared" si="11"/>
        <v>0</v>
      </c>
      <c r="H117" s="43"/>
      <c r="I117" s="44"/>
      <c r="J117" s="27">
        <f t="shared" si="12"/>
        <v>0</v>
      </c>
      <c r="K117" s="25">
        <f t="shared" si="13"/>
        <v>0</v>
      </c>
      <c r="L117" s="18">
        <f t="shared" si="14"/>
        <v>0</v>
      </c>
      <c r="M117" s="19">
        <f t="shared" si="15"/>
        <v>0</v>
      </c>
      <c r="N117" s="22">
        <f t="shared" si="8"/>
        <v>0</v>
      </c>
      <c r="O117" s="23">
        <f t="shared" si="9"/>
        <v>0</v>
      </c>
    </row>
    <row r="118" spans="1:15" customFormat="1">
      <c r="A118" s="54">
        <v>4</v>
      </c>
      <c r="B118" s="32" t="s">
        <v>118</v>
      </c>
      <c r="C118" s="9" t="s">
        <v>340</v>
      </c>
      <c r="D118" s="43"/>
      <c r="E118" s="44"/>
      <c r="F118" s="24">
        <f t="shared" si="10"/>
        <v>0</v>
      </c>
      <c r="G118" s="25">
        <f t="shared" si="11"/>
        <v>0</v>
      </c>
      <c r="H118" s="43"/>
      <c r="I118" s="44"/>
      <c r="J118" s="27">
        <f t="shared" si="12"/>
        <v>0</v>
      </c>
      <c r="K118" s="25">
        <f t="shared" si="13"/>
        <v>0</v>
      </c>
      <c r="L118" s="18">
        <f t="shared" si="14"/>
        <v>0</v>
      </c>
      <c r="M118" s="19">
        <f t="shared" si="15"/>
        <v>0</v>
      </c>
      <c r="N118" s="22">
        <f t="shared" si="8"/>
        <v>0</v>
      </c>
      <c r="O118" s="23">
        <f t="shared" si="9"/>
        <v>0</v>
      </c>
    </row>
    <row r="119" spans="1:15" customFormat="1">
      <c r="A119" s="54">
        <v>4</v>
      </c>
      <c r="B119" s="32" t="s">
        <v>119</v>
      </c>
      <c r="C119" s="9" t="s">
        <v>341</v>
      </c>
      <c r="D119" s="43"/>
      <c r="E119" s="44"/>
      <c r="F119" s="24">
        <f t="shared" si="10"/>
        <v>0</v>
      </c>
      <c r="G119" s="25">
        <f t="shared" si="11"/>
        <v>0</v>
      </c>
      <c r="H119" s="43"/>
      <c r="I119" s="44"/>
      <c r="J119" s="27">
        <f t="shared" si="12"/>
        <v>0</v>
      </c>
      <c r="K119" s="25">
        <f t="shared" si="13"/>
        <v>0</v>
      </c>
      <c r="L119" s="18">
        <f t="shared" si="14"/>
        <v>0</v>
      </c>
      <c r="M119" s="19">
        <f t="shared" si="15"/>
        <v>0</v>
      </c>
      <c r="N119" s="22">
        <f t="shared" si="8"/>
        <v>0</v>
      </c>
      <c r="O119" s="23">
        <f t="shared" si="9"/>
        <v>0</v>
      </c>
    </row>
    <row r="120" spans="1:15" customFormat="1">
      <c r="A120" s="54">
        <v>4</v>
      </c>
      <c r="B120" s="32" t="s">
        <v>120</v>
      </c>
      <c r="C120" s="9" t="s">
        <v>342</v>
      </c>
      <c r="D120" s="43"/>
      <c r="E120" s="44"/>
      <c r="F120" s="24">
        <f t="shared" si="10"/>
        <v>0</v>
      </c>
      <c r="G120" s="25">
        <f t="shared" si="11"/>
        <v>0</v>
      </c>
      <c r="H120" s="43"/>
      <c r="I120" s="44"/>
      <c r="J120" s="27">
        <f t="shared" si="12"/>
        <v>0</v>
      </c>
      <c r="K120" s="25">
        <f t="shared" si="13"/>
        <v>0</v>
      </c>
      <c r="L120" s="18">
        <f t="shared" si="14"/>
        <v>0</v>
      </c>
      <c r="M120" s="19">
        <f t="shared" si="15"/>
        <v>0</v>
      </c>
      <c r="N120" s="22">
        <f t="shared" si="8"/>
        <v>0</v>
      </c>
      <c r="O120" s="23">
        <f t="shared" si="9"/>
        <v>0</v>
      </c>
    </row>
    <row r="121" spans="1:15" customFormat="1">
      <c r="A121" s="54">
        <v>4</v>
      </c>
      <c r="B121" s="32" t="s">
        <v>121</v>
      </c>
      <c r="C121" s="9" t="s">
        <v>343</v>
      </c>
      <c r="D121" s="43"/>
      <c r="E121" s="44"/>
      <c r="F121" s="24">
        <f t="shared" si="10"/>
        <v>0</v>
      </c>
      <c r="G121" s="25">
        <f t="shared" si="11"/>
        <v>0</v>
      </c>
      <c r="H121" s="43"/>
      <c r="I121" s="44"/>
      <c r="J121" s="27">
        <f t="shared" si="12"/>
        <v>0</v>
      </c>
      <c r="K121" s="25">
        <f t="shared" si="13"/>
        <v>0</v>
      </c>
      <c r="L121" s="18">
        <f t="shared" si="14"/>
        <v>0</v>
      </c>
      <c r="M121" s="19">
        <f t="shared" si="15"/>
        <v>0</v>
      </c>
      <c r="N121" s="22">
        <f t="shared" si="8"/>
        <v>0</v>
      </c>
      <c r="O121" s="23">
        <f t="shared" si="9"/>
        <v>0</v>
      </c>
    </row>
    <row r="122" spans="1:15" customFormat="1">
      <c r="A122" s="54">
        <v>4</v>
      </c>
      <c r="B122" s="32" t="s">
        <v>122</v>
      </c>
      <c r="C122" s="9" t="s">
        <v>344</v>
      </c>
      <c r="D122" s="43"/>
      <c r="E122" s="44"/>
      <c r="F122" s="24">
        <f t="shared" si="10"/>
        <v>0</v>
      </c>
      <c r="G122" s="25">
        <f t="shared" si="11"/>
        <v>0</v>
      </c>
      <c r="H122" s="43"/>
      <c r="I122" s="44"/>
      <c r="J122" s="27">
        <f t="shared" si="12"/>
        <v>0</v>
      </c>
      <c r="K122" s="25">
        <f t="shared" si="13"/>
        <v>0</v>
      </c>
      <c r="L122" s="18">
        <f t="shared" si="14"/>
        <v>0</v>
      </c>
      <c r="M122" s="19">
        <f t="shared" si="15"/>
        <v>0</v>
      </c>
      <c r="N122" s="22">
        <f t="shared" si="8"/>
        <v>0</v>
      </c>
      <c r="O122" s="23">
        <f t="shared" si="9"/>
        <v>0</v>
      </c>
    </row>
    <row r="123" spans="1:15" customFormat="1">
      <c r="A123" s="54">
        <v>4</v>
      </c>
      <c r="B123" s="32" t="s">
        <v>123</v>
      </c>
      <c r="C123" s="9" t="s">
        <v>345</v>
      </c>
      <c r="D123" s="43"/>
      <c r="E123" s="44"/>
      <c r="F123" s="24">
        <f t="shared" si="10"/>
        <v>0</v>
      </c>
      <c r="G123" s="25">
        <f t="shared" si="11"/>
        <v>0</v>
      </c>
      <c r="H123" s="43"/>
      <c r="I123" s="44"/>
      <c r="J123" s="27">
        <f t="shared" si="12"/>
        <v>0</v>
      </c>
      <c r="K123" s="25">
        <f t="shared" si="13"/>
        <v>0</v>
      </c>
      <c r="L123" s="18">
        <f t="shared" si="14"/>
        <v>0</v>
      </c>
      <c r="M123" s="19">
        <f t="shared" si="15"/>
        <v>0</v>
      </c>
      <c r="N123" s="22">
        <f t="shared" si="8"/>
        <v>0</v>
      </c>
      <c r="O123" s="23">
        <f t="shared" si="9"/>
        <v>0</v>
      </c>
    </row>
    <row r="124" spans="1:15" customFormat="1">
      <c r="A124" s="54">
        <v>4</v>
      </c>
      <c r="B124" s="32" t="s">
        <v>124</v>
      </c>
      <c r="C124" s="9" t="s">
        <v>346</v>
      </c>
      <c r="D124" s="43"/>
      <c r="E124" s="44">
        <v>40757385.560000002</v>
      </c>
      <c r="F124" s="24">
        <f t="shared" si="10"/>
        <v>0</v>
      </c>
      <c r="G124" s="25">
        <f t="shared" si="11"/>
        <v>40757385.560000002</v>
      </c>
      <c r="H124" s="43"/>
      <c r="I124" s="44"/>
      <c r="J124" s="27">
        <f t="shared" si="12"/>
        <v>0</v>
      </c>
      <c r="K124" s="25">
        <f t="shared" si="13"/>
        <v>40757385.560000002</v>
      </c>
      <c r="L124" s="18">
        <f t="shared" si="14"/>
        <v>0</v>
      </c>
      <c r="M124" s="19">
        <f t="shared" si="15"/>
        <v>0</v>
      </c>
      <c r="N124" s="22">
        <f t="shared" si="8"/>
        <v>0</v>
      </c>
      <c r="O124" s="23">
        <f t="shared" si="9"/>
        <v>40757385.560000002</v>
      </c>
    </row>
    <row r="125" spans="1:15" customFormat="1">
      <c r="A125" s="54">
        <v>4</v>
      </c>
      <c r="B125" s="32" t="s">
        <v>125</v>
      </c>
      <c r="C125" s="9" t="s">
        <v>347</v>
      </c>
      <c r="D125" s="43"/>
      <c r="E125" s="44">
        <v>222145.01</v>
      </c>
      <c r="F125" s="24">
        <f t="shared" si="10"/>
        <v>0</v>
      </c>
      <c r="G125" s="25">
        <f t="shared" si="11"/>
        <v>222145.01</v>
      </c>
      <c r="H125" s="43"/>
      <c r="I125" s="44"/>
      <c r="J125" s="27">
        <f t="shared" si="12"/>
        <v>0</v>
      </c>
      <c r="K125" s="25">
        <f t="shared" si="13"/>
        <v>222145.01</v>
      </c>
      <c r="L125" s="18">
        <f t="shared" si="14"/>
        <v>0</v>
      </c>
      <c r="M125" s="19">
        <f t="shared" si="15"/>
        <v>0</v>
      </c>
      <c r="N125" s="22">
        <f t="shared" si="8"/>
        <v>0</v>
      </c>
      <c r="O125" s="23">
        <f t="shared" si="9"/>
        <v>222145.01</v>
      </c>
    </row>
    <row r="126" spans="1:15" customFormat="1">
      <c r="A126" s="54">
        <v>4</v>
      </c>
      <c r="B126" s="32" t="s">
        <v>126</v>
      </c>
      <c r="C126" s="9" t="s">
        <v>348</v>
      </c>
      <c r="D126" s="43"/>
      <c r="E126" s="44"/>
      <c r="F126" s="24">
        <f t="shared" si="10"/>
        <v>0</v>
      </c>
      <c r="G126" s="25">
        <f t="shared" si="11"/>
        <v>0</v>
      </c>
      <c r="H126" s="43"/>
      <c r="I126" s="44"/>
      <c r="J126" s="27">
        <f t="shared" si="12"/>
        <v>0</v>
      </c>
      <c r="K126" s="25">
        <f t="shared" si="13"/>
        <v>0</v>
      </c>
      <c r="L126" s="18">
        <f t="shared" si="14"/>
        <v>0</v>
      </c>
      <c r="M126" s="19">
        <f t="shared" si="15"/>
        <v>0</v>
      </c>
      <c r="N126" s="22">
        <f t="shared" si="8"/>
        <v>0</v>
      </c>
      <c r="O126" s="23">
        <f t="shared" si="9"/>
        <v>0</v>
      </c>
    </row>
    <row r="127" spans="1:15" customFormat="1">
      <c r="A127" s="54">
        <v>4</v>
      </c>
      <c r="B127" s="32" t="s">
        <v>127</v>
      </c>
      <c r="C127" s="9" t="s">
        <v>349</v>
      </c>
      <c r="D127" s="43"/>
      <c r="E127" s="44"/>
      <c r="F127" s="24">
        <f t="shared" si="10"/>
        <v>0</v>
      </c>
      <c r="G127" s="25">
        <f t="shared" si="11"/>
        <v>0</v>
      </c>
      <c r="H127" s="43"/>
      <c r="I127" s="44"/>
      <c r="J127" s="27">
        <f t="shared" si="12"/>
        <v>0</v>
      </c>
      <c r="K127" s="25">
        <f t="shared" si="13"/>
        <v>0</v>
      </c>
      <c r="L127" s="18">
        <f t="shared" si="14"/>
        <v>0</v>
      </c>
      <c r="M127" s="19">
        <f t="shared" si="15"/>
        <v>0</v>
      </c>
      <c r="N127" s="22">
        <f t="shared" si="8"/>
        <v>0</v>
      </c>
      <c r="O127" s="23">
        <f t="shared" si="9"/>
        <v>0</v>
      </c>
    </row>
    <row r="128" spans="1:15" customFormat="1">
      <c r="A128" s="54">
        <v>4</v>
      </c>
      <c r="B128" s="32" t="s">
        <v>128</v>
      </c>
      <c r="C128" s="9" t="s">
        <v>350</v>
      </c>
      <c r="D128" s="43"/>
      <c r="E128" s="44"/>
      <c r="F128" s="24">
        <f t="shared" si="10"/>
        <v>0</v>
      </c>
      <c r="G128" s="25">
        <f t="shared" si="11"/>
        <v>0</v>
      </c>
      <c r="H128" s="43"/>
      <c r="I128" s="44"/>
      <c r="J128" s="27">
        <f t="shared" si="12"/>
        <v>0</v>
      </c>
      <c r="K128" s="25">
        <f t="shared" si="13"/>
        <v>0</v>
      </c>
      <c r="L128" s="18">
        <f t="shared" si="14"/>
        <v>0</v>
      </c>
      <c r="M128" s="19">
        <f t="shared" si="15"/>
        <v>0</v>
      </c>
      <c r="N128" s="22">
        <f t="shared" si="8"/>
        <v>0</v>
      </c>
      <c r="O128" s="23">
        <f t="shared" si="9"/>
        <v>0</v>
      </c>
    </row>
    <row r="129" spans="1:15" customFormat="1">
      <c r="A129" s="54">
        <v>4</v>
      </c>
      <c r="B129" s="32" t="s">
        <v>129</v>
      </c>
      <c r="C129" s="9" t="s">
        <v>351</v>
      </c>
      <c r="D129" s="43"/>
      <c r="E129" s="44"/>
      <c r="F129" s="24">
        <f t="shared" si="10"/>
        <v>0</v>
      </c>
      <c r="G129" s="25">
        <f t="shared" si="11"/>
        <v>0</v>
      </c>
      <c r="H129" s="43"/>
      <c r="I129" s="44"/>
      <c r="J129" s="27">
        <f t="shared" si="12"/>
        <v>0</v>
      </c>
      <c r="K129" s="25">
        <f t="shared" si="13"/>
        <v>0</v>
      </c>
      <c r="L129" s="18">
        <f t="shared" si="14"/>
        <v>0</v>
      </c>
      <c r="M129" s="19">
        <f t="shared" si="15"/>
        <v>0</v>
      </c>
      <c r="N129" s="22">
        <f t="shared" si="8"/>
        <v>0</v>
      </c>
      <c r="O129" s="23">
        <f t="shared" si="9"/>
        <v>0</v>
      </c>
    </row>
    <row r="130" spans="1:15" customFormat="1">
      <c r="A130" s="54">
        <v>4</v>
      </c>
      <c r="B130" s="32" t="s">
        <v>130</v>
      </c>
      <c r="C130" s="9" t="s">
        <v>352</v>
      </c>
      <c r="D130" s="43"/>
      <c r="E130" s="44"/>
      <c r="F130" s="24">
        <f t="shared" si="10"/>
        <v>0</v>
      </c>
      <c r="G130" s="25">
        <f t="shared" si="11"/>
        <v>0</v>
      </c>
      <c r="H130" s="43"/>
      <c r="I130" s="44"/>
      <c r="J130" s="27">
        <f t="shared" si="12"/>
        <v>0</v>
      </c>
      <c r="K130" s="25">
        <f t="shared" si="13"/>
        <v>0</v>
      </c>
      <c r="L130" s="18">
        <f t="shared" si="14"/>
        <v>0</v>
      </c>
      <c r="M130" s="19">
        <f t="shared" si="15"/>
        <v>0</v>
      </c>
      <c r="N130" s="22">
        <f t="shared" si="8"/>
        <v>0</v>
      </c>
      <c r="O130" s="23">
        <f t="shared" si="9"/>
        <v>0</v>
      </c>
    </row>
    <row r="131" spans="1:15" customFormat="1">
      <c r="A131" s="54">
        <v>5</v>
      </c>
      <c r="B131" s="32" t="s">
        <v>131</v>
      </c>
      <c r="C131" s="9" t="s">
        <v>353</v>
      </c>
      <c r="D131" s="43">
        <v>13463529.52</v>
      </c>
      <c r="E131" s="44"/>
      <c r="F131" s="24">
        <f t="shared" si="10"/>
        <v>13463529.52</v>
      </c>
      <c r="G131" s="25">
        <f t="shared" si="11"/>
        <v>0</v>
      </c>
      <c r="H131" s="43"/>
      <c r="I131" s="44"/>
      <c r="J131" s="27">
        <f t="shared" si="12"/>
        <v>13463529.52</v>
      </c>
      <c r="K131" s="25">
        <f t="shared" si="13"/>
        <v>0</v>
      </c>
      <c r="L131" s="18">
        <f t="shared" si="14"/>
        <v>0</v>
      </c>
      <c r="M131" s="19">
        <f t="shared" si="15"/>
        <v>0</v>
      </c>
      <c r="N131" s="22">
        <f t="shared" si="8"/>
        <v>13463529.52</v>
      </c>
      <c r="O131" s="23">
        <f t="shared" si="9"/>
        <v>0</v>
      </c>
    </row>
    <row r="132" spans="1:15" customFormat="1">
      <c r="A132" s="54">
        <v>5</v>
      </c>
      <c r="B132" s="32" t="s">
        <v>132</v>
      </c>
      <c r="C132" s="9" t="s">
        <v>354</v>
      </c>
      <c r="D132" s="43">
        <v>974847.53</v>
      </c>
      <c r="E132" s="44"/>
      <c r="F132" s="24">
        <f t="shared" si="10"/>
        <v>974847.53</v>
      </c>
      <c r="G132" s="25">
        <f t="shared" si="11"/>
        <v>0</v>
      </c>
      <c r="H132" s="43"/>
      <c r="I132" s="44"/>
      <c r="J132" s="27">
        <f t="shared" si="12"/>
        <v>974847.53</v>
      </c>
      <c r="K132" s="25">
        <f t="shared" si="13"/>
        <v>0</v>
      </c>
      <c r="L132" s="18">
        <f t="shared" si="14"/>
        <v>0</v>
      </c>
      <c r="M132" s="19">
        <f t="shared" si="15"/>
        <v>0</v>
      </c>
      <c r="N132" s="22">
        <f t="shared" si="8"/>
        <v>974847.53</v>
      </c>
      <c r="O132" s="23">
        <f t="shared" si="9"/>
        <v>0</v>
      </c>
    </row>
    <row r="133" spans="1:15" customFormat="1">
      <c r="A133" s="54">
        <v>5</v>
      </c>
      <c r="B133" s="32" t="s">
        <v>133</v>
      </c>
      <c r="C133" s="9" t="s">
        <v>355</v>
      </c>
      <c r="D133" s="43">
        <v>240000</v>
      </c>
      <c r="E133" s="44"/>
      <c r="F133" s="24">
        <f t="shared" si="10"/>
        <v>240000</v>
      </c>
      <c r="G133" s="25">
        <f t="shared" si="11"/>
        <v>0</v>
      </c>
      <c r="H133" s="43"/>
      <c r="I133" s="44"/>
      <c r="J133" s="27">
        <f t="shared" si="12"/>
        <v>240000</v>
      </c>
      <c r="K133" s="25">
        <f t="shared" si="13"/>
        <v>0</v>
      </c>
      <c r="L133" s="18">
        <f t="shared" si="14"/>
        <v>0</v>
      </c>
      <c r="M133" s="19">
        <f t="shared" si="15"/>
        <v>0</v>
      </c>
      <c r="N133" s="22">
        <f t="shared" si="8"/>
        <v>240000</v>
      </c>
      <c r="O133" s="23">
        <f t="shared" si="9"/>
        <v>0</v>
      </c>
    </row>
    <row r="134" spans="1:15" customFormat="1">
      <c r="A134" s="54">
        <v>5</v>
      </c>
      <c r="B134" s="32" t="s">
        <v>134</v>
      </c>
      <c r="C134" s="9" t="s">
        <v>356</v>
      </c>
      <c r="D134" s="43">
        <v>240000</v>
      </c>
      <c r="E134" s="44"/>
      <c r="F134" s="24">
        <f t="shared" si="10"/>
        <v>240000</v>
      </c>
      <c r="G134" s="25">
        <f t="shared" si="11"/>
        <v>0</v>
      </c>
      <c r="H134" s="43"/>
      <c r="I134" s="44"/>
      <c r="J134" s="27">
        <f t="shared" si="12"/>
        <v>240000</v>
      </c>
      <c r="K134" s="25">
        <f t="shared" si="13"/>
        <v>0</v>
      </c>
      <c r="L134" s="18">
        <f t="shared" si="14"/>
        <v>0</v>
      </c>
      <c r="M134" s="19">
        <f t="shared" si="15"/>
        <v>0</v>
      </c>
      <c r="N134" s="22">
        <f t="shared" si="8"/>
        <v>240000</v>
      </c>
      <c r="O134" s="23">
        <f t="shared" si="9"/>
        <v>0</v>
      </c>
    </row>
    <row r="135" spans="1:15" customFormat="1">
      <c r="A135" s="54">
        <v>5</v>
      </c>
      <c r="B135" s="32" t="s">
        <v>135</v>
      </c>
      <c r="C135" s="9" t="s">
        <v>357</v>
      </c>
      <c r="D135" s="43">
        <v>200000</v>
      </c>
      <c r="E135" s="44"/>
      <c r="F135" s="24">
        <f t="shared" si="10"/>
        <v>200000</v>
      </c>
      <c r="G135" s="25">
        <f t="shared" si="11"/>
        <v>0</v>
      </c>
      <c r="H135" s="43"/>
      <c r="I135" s="44"/>
      <c r="J135" s="27">
        <f t="shared" si="12"/>
        <v>200000</v>
      </c>
      <c r="K135" s="25">
        <f t="shared" si="13"/>
        <v>0</v>
      </c>
      <c r="L135" s="18">
        <f t="shared" si="14"/>
        <v>0</v>
      </c>
      <c r="M135" s="19">
        <f t="shared" si="15"/>
        <v>0</v>
      </c>
      <c r="N135" s="22">
        <f t="shared" si="8"/>
        <v>200000</v>
      </c>
      <c r="O135" s="23">
        <f t="shared" si="9"/>
        <v>0</v>
      </c>
    </row>
    <row r="136" spans="1:15" customFormat="1">
      <c r="A136" s="54">
        <v>5</v>
      </c>
      <c r="B136" s="32" t="s">
        <v>136</v>
      </c>
      <c r="C136" s="9" t="s">
        <v>358</v>
      </c>
      <c r="D136" s="43"/>
      <c r="E136" s="44"/>
      <c r="F136" s="24">
        <f t="shared" si="10"/>
        <v>0</v>
      </c>
      <c r="G136" s="25">
        <f t="shared" si="11"/>
        <v>0</v>
      </c>
      <c r="H136" s="43"/>
      <c r="I136" s="44"/>
      <c r="J136" s="27">
        <f t="shared" si="12"/>
        <v>0</v>
      </c>
      <c r="K136" s="25">
        <f t="shared" si="13"/>
        <v>0</v>
      </c>
      <c r="L136" s="18">
        <f t="shared" si="14"/>
        <v>0</v>
      </c>
      <c r="M136" s="19">
        <f t="shared" si="15"/>
        <v>0</v>
      </c>
      <c r="N136" s="22">
        <f t="shared" si="8"/>
        <v>0</v>
      </c>
      <c r="O136" s="23">
        <f t="shared" si="9"/>
        <v>0</v>
      </c>
    </row>
    <row r="137" spans="1:15" customFormat="1">
      <c r="A137" s="54">
        <v>5</v>
      </c>
      <c r="B137" s="32" t="s">
        <v>137</v>
      </c>
      <c r="C137" s="9" t="s">
        <v>359</v>
      </c>
      <c r="D137" s="43"/>
      <c r="E137" s="44"/>
      <c r="F137" s="24">
        <f t="shared" si="10"/>
        <v>0</v>
      </c>
      <c r="G137" s="25">
        <f t="shared" si="11"/>
        <v>0</v>
      </c>
      <c r="H137" s="43"/>
      <c r="I137" s="44"/>
      <c r="J137" s="27">
        <f t="shared" si="12"/>
        <v>0</v>
      </c>
      <c r="K137" s="25">
        <f t="shared" si="13"/>
        <v>0</v>
      </c>
      <c r="L137" s="18">
        <f t="shared" si="14"/>
        <v>0</v>
      </c>
      <c r="M137" s="19">
        <f t="shared" si="15"/>
        <v>0</v>
      </c>
      <c r="N137" s="22">
        <f t="shared" si="8"/>
        <v>0</v>
      </c>
      <c r="O137" s="23">
        <f t="shared" si="9"/>
        <v>0</v>
      </c>
    </row>
    <row r="138" spans="1:15" customFormat="1">
      <c r="A138" s="54">
        <v>5</v>
      </c>
      <c r="B138" s="32" t="s">
        <v>138</v>
      </c>
      <c r="C138" s="9" t="s">
        <v>360</v>
      </c>
      <c r="D138" s="43"/>
      <c r="E138" s="44"/>
      <c r="F138" s="24">
        <f t="shared" ref="F138:F201" si="16">IF(OR((LEFT(A138,1)="1"),(LEFT(A138,1)="5")),D138*1,D138*-1)</f>
        <v>0</v>
      </c>
      <c r="G138" s="25">
        <f t="shared" ref="G138:G201" si="17">IF(OR((LEFT(A138,1)="2"),(LEFT(A138,1)="3"),(LEFT(A138,1)="4"),(LEFT(A138,1)="6")),E138*1,E138*-1)</f>
        <v>0</v>
      </c>
      <c r="H138" s="43"/>
      <c r="I138" s="44"/>
      <c r="J138" s="27">
        <f t="shared" ref="J138:J201" si="18">IF(OR((LEFT(A138,1)="1"),(LEFT(A138,1)="5")),F138+H138-I138,0)</f>
        <v>0</v>
      </c>
      <c r="K138" s="25">
        <f t="shared" ref="K138:K201" si="19">IF(OR((LEFT(A138,1)="2"),(LEFT(A138,1)="3"),(LEFT(A138,1)="4"),(LEFT(A138,1)="6")),G138+I138-H138,0)</f>
        <v>0</v>
      </c>
      <c r="L138" s="18">
        <f t="shared" ref="L138:L201" si="20">IF(OR((LEFT(A138,1)="1"),(LEFT(A138,1)="2"),(LEFT(A138,1)="3"),(LEFT(A138,1)="6")),J138,0)</f>
        <v>0</v>
      </c>
      <c r="M138" s="19">
        <f t="shared" ref="M138:M201" si="21">IF(OR((LEFT(A138,1)="1"),(LEFT(A138,1)="2"),(LEFT(A138,1)="3"),(LEFT(A138,1)="6")),K138,0)</f>
        <v>0</v>
      </c>
      <c r="N138" s="22">
        <f t="shared" ref="N138:N201" si="22">IF(OR((LEFT(A138,1)="4"),(LEFT(A138,1)="5")),J138,0)</f>
        <v>0</v>
      </c>
      <c r="O138" s="23">
        <f t="shared" ref="O138:O201" si="23">IF(OR((LEFT(A138,1)="4"),(LEFT(A138,1)="5")),K138,0)</f>
        <v>0</v>
      </c>
    </row>
    <row r="139" spans="1:15" customFormat="1">
      <c r="A139" s="54">
        <v>5</v>
      </c>
      <c r="B139" s="32" t="s">
        <v>139</v>
      </c>
      <c r="C139" s="9" t="s">
        <v>361</v>
      </c>
      <c r="D139" s="43">
        <v>80000</v>
      </c>
      <c r="E139" s="44"/>
      <c r="F139" s="24">
        <f t="shared" si="16"/>
        <v>80000</v>
      </c>
      <c r="G139" s="25">
        <f t="shared" si="17"/>
        <v>0</v>
      </c>
      <c r="H139" s="43"/>
      <c r="I139" s="44"/>
      <c r="J139" s="27">
        <f t="shared" si="18"/>
        <v>80000</v>
      </c>
      <c r="K139" s="25">
        <f t="shared" si="19"/>
        <v>0</v>
      </c>
      <c r="L139" s="18">
        <f t="shared" si="20"/>
        <v>0</v>
      </c>
      <c r="M139" s="19">
        <f t="shared" si="21"/>
        <v>0</v>
      </c>
      <c r="N139" s="22">
        <f t="shared" si="22"/>
        <v>80000</v>
      </c>
      <c r="O139" s="23">
        <f t="shared" si="23"/>
        <v>0</v>
      </c>
    </row>
    <row r="140" spans="1:15" customFormat="1">
      <c r="A140" s="54">
        <v>5</v>
      </c>
      <c r="B140" s="32" t="s">
        <v>140</v>
      </c>
      <c r="C140" s="9" t="s">
        <v>362</v>
      </c>
      <c r="D140" s="43"/>
      <c r="E140" s="44"/>
      <c r="F140" s="24">
        <f t="shared" si="16"/>
        <v>0</v>
      </c>
      <c r="G140" s="25">
        <f t="shared" si="17"/>
        <v>0</v>
      </c>
      <c r="H140" s="43"/>
      <c r="I140" s="44"/>
      <c r="J140" s="27">
        <f t="shared" si="18"/>
        <v>0</v>
      </c>
      <c r="K140" s="25">
        <f t="shared" si="19"/>
        <v>0</v>
      </c>
      <c r="L140" s="18">
        <f t="shared" si="20"/>
        <v>0</v>
      </c>
      <c r="M140" s="19">
        <f t="shared" si="21"/>
        <v>0</v>
      </c>
      <c r="N140" s="22">
        <f t="shared" si="22"/>
        <v>0</v>
      </c>
      <c r="O140" s="23">
        <f t="shared" si="23"/>
        <v>0</v>
      </c>
    </row>
    <row r="141" spans="1:15" customFormat="1">
      <c r="A141" s="54">
        <v>5</v>
      </c>
      <c r="B141" s="32" t="s">
        <v>141</v>
      </c>
      <c r="C141" s="9" t="s">
        <v>363</v>
      </c>
      <c r="D141" s="43"/>
      <c r="E141" s="44"/>
      <c r="F141" s="24">
        <f t="shared" si="16"/>
        <v>0</v>
      </c>
      <c r="G141" s="25">
        <f t="shared" si="17"/>
        <v>0</v>
      </c>
      <c r="H141" s="43"/>
      <c r="I141" s="44"/>
      <c r="J141" s="27">
        <f t="shared" si="18"/>
        <v>0</v>
      </c>
      <c r="K141" s="25">
        <f t="shared" si="19"/>
        <v>0</v>
      </c>
      <c r="L141" s="18">
        <f t="shared" si="20"/>
        <v>0</v>
      </c>
      <c r="M141" s="19">
        <f t="shared" si="21"/>
        <v>0</v>
      </c>
      <c r="N141" s="22">
        <f t="shared" si="22"/>
        <v>0</v>
      </c>
      <c r="O141" s="23">
        <f t="shared" si="23"/>
        <v>0</v>
      </c>
    </row>
    <row r="142" spans="1:15" customFormat="1">
      <c r="A142" s="54">
        <v>5</v>
      </c>
      <c r="B142" s="32" t="s">
        <v>142</v>
      </c>
      <c r="C142" s="9" t="s">
        <v>364</v>
      </c>
      <c r="D142" s="43">
        <v>1054165</v>
      </c>
      <c r="E142" s="44"/>
      <c r="F142" s="24">
        <f t="shared" si="16"/>
        <v>1054165</v>
      </c>
      <c r="G142" s="25">
        <f t="shared" si="17"/>
        <v>0</v>
      </c>
      <c r="H142" s="43"/>
      <c r="I142" s="44"/>
      <c r="J142" s="27">
        <f t="shared" si="18"/>
        <v>1054165</v>
      </c>
      <c r="K142" s="25">
        <f t="shared" si="19"/>
        <v>0</v>
      </c>
      <c r="L142" s="18">
        <f t="shared" si="20"/>
        <v>0</v>
      </c>
      <c r="M142" s="19">
        <f t="shared" si="21"/>
        <v>0</v>
      </c>
      <c r="N142" s="22">
        <f t="shared" si="22"/>
        <v>1054165</v>
      </c>
      <c r="O142" s="23">
        <f t="shared" si="23"/>
        <v>0</v>
      </c>
    </row>
    <row r="143" spans="1:15" customFormat="1">
      <c r="A143" s="54">
        <v>5</v>
      </c>
      <c r="B143" s="32" t="s">
        <v>143</v>
      </c>
      <c r="C143" s="9" t="s">
        <v>365</v>
      </c>
      <c r="D143" s="43">
        <v>50000</v>
      </c>
      <c r="E143" s="44"/>
      <c r="F143" s="24">
        <f t="shared" si="16"/>
        <v>50000</v>
      </c>
      <c r="G143" s="25">
        <f t="shared" si="17"/>
        <v>0</v>
      </c>
      <c r="H143" s="43"/>
      <c r="I143" s="44"/>
      <c r="J143" s="27">
        <f t="shared" si="18"/>
        <v>50000</v>
      </c>
      <c r="K143" s="25">
        <f t="shared" si="19"/>
        <v>0</v>
      </c>
      <c r="L143" s="18">
        <f t="shared" si="20"/>
        <v>0</v>
      </c>
      <c r="M143" s="19">
        <f t="shared" si="21"/>
        <v>0</v>
      </c>
      <c r="N143" s="22">
        <f t="shared" si="22"/>
        <v>50000</v>
      </c>
      <c r="O143" s="23">
        <f t="shared" si="23"/>
        <v>0</v>
      </c>
    </row>
    <row r="144" spans="1:15" customFormat="1">
      <c r="A144" s="54">
        <v>5</v>
      </c>
      <c r="B144" s="32" t="s">
        <v>144</v>
      </c>
      <c r="C144" s="9" t="s">
        <v>366</v>
      </c>
      <c r="D144" s="43"/>
      <c r="E144" s="44"/>
      <c r="F144" s="24">
        <f t="shared" si="16"/>
        <v>0</v>
      </c>
      <c r="G144" s="25">
        <f t="shared" si="17"/>
        <v>0</v>
      </c>
      <c r="H144" s="43"/>
      <c r="I144" s="44"/>
      <c r="J144" s="27">
        <f t="shared" si="18"/>
        <v>0</v>
      </c>
      <c r="K144" s="25">
        <f t="shared" si="19"/>
        <v>0</v>
      </c>
      <c r="L144" s="18">
        <f t="shared" si="20"/>
        <v>0</v>
      </c>
      <c r="M144" s="19">
        <f t="shared" si="21"/>
        <v>0</v>
      </c>
      <c r="N144" s="22">
        <f t="shared" si="22"/>
        <v>0</v>
      </c>
      <c r="O144" s="23">
        <f t="shared" si="23"/>
        <v>0</v>
      </c>
    </row>
    <row r="145" spans="1:15" customFormat="1">
      <c r="A145" s="54">
        <v>5</v>
      </c>
      <c r="B145" s="32" t="s">
        <v>145</v>
      </c>
      <c r="C145" s="9" t="s">
        <v>367</v>
      </c>
      <c r="D145" s="43">
        <v>1151507</v>
      </c>
      <c r="E145" s="44"/>
      <c r="F145" s="24">
        <f t="shared" si="16"/>
        <v>1151507</v>
      </c>
      <c r="G145" s="25">
        <f t="shared" si="17"/>
        <v>0</v>
      </c>
      <c r="H145" s="43"/>
      <c r="I145" s="44"/>
      <c r="J145" s="27">
        <f t="shared" si="18"/>
        <v>1151507</v>
      </c>
      <c r="K145" s="25">
        <f t="shared" si="19"/>
        <v>0</v>
      </c>
      <c r="L145" s="18">
        <f t="shared" si="20"/>
        <v>0</v>
      </c>
      <c r="M145" s="19">
        <f t="shared" si="21"/>
        <v>0</v>
      </c>
      <c r="N145" s="22">
        <f t="shared" si="22"/>
        <v>1151507</v>
      </c>
      <c r="O145" s="23">
        <f t="shared" si="23"/>
        <v>0</v>
      </c>
    </row>
    <row r="146" spans="1:15" customFormat="1">
      <c r="A146" s="54">
        <v>5</v>
      </c>
      <c r="B146" s="32" t="s">
        <v>146</v>
      </c>
      <c r="C146" s="9" t="s">
        <v>368</v>
      </c>
      <c r="D146" s="43">
        <v>201500</v>
      </c>
      <c r="E146" s="44"/>
      <c r="F146" s="24">
        <f t="shared" si="16"/>
        <v>201500</v>
      </c>
      <c r="G146" s="25">
        <f t="shared" si="17"/>
        <v>0</v>
      </c>
      <c r="H146" s="43"/>
      <c r="I146" s="44"/>
      <c r="J146" s="27">
        <f t="shared" si="18"/>
        <v>201500</v>
      </c>
      <c r="K146" s="25">
        <f t="shared" si="19"/>
        <v>0</v>
      </c>
      <c r="L146" s="18">
        <f t="shared" si="20"/>
        <v>0</v>
      </c>
      <c r="M146" s="19">
        <f t="shared" si="21"/>
        <v>0</v>
      </c>
      <c r="N146" s="22">
        <f t="shared" si="22"/>
        <v>201500</v>
      </c>
      <c r="O146" s="23">
        <f t="shared" si="23"/>
        <v>0</v>
      </c>
    </row>
    <row r="147" spans="1:15" customFormat="1">
      <c r="A147" s="54">
        <v>5</v>
      </c>
      <c r="B147" s="32" t="s">
        <v>147</v>
      </c>
      <c r="C147" s="9" t="s">
        <v>369</v>
      </c>
      <c r="D147" s="43">
        <v>1615715.47</v>
      </c>
      <c r="E147" s="44"/>
      <c r="F147" s="24">
        <f t="shared" si="16"/>
        <v>1615715.47</v>
      </c>
      <c r="G147" s="25">
        <f t="shared" si="17"/>
        <v>0</v>
      </c>
      <c r="H147" s="43"/>
      <c r="I147" s="44"/>
      <c r="J147" s="27">
        <f t="shared" si="18"/>
        <v>1615715.47</v>
      </c>
      <c r="K147" s="25">
        <f t="shared" si="19"/>
        <v>0</v>
      </c>
      <c r="L147" s="18">
        <f t="shared" si="20"/>
        <v>0</v>
      </c>
      <c r="M147" s="19">
        <f t="shared" si="21"/>
        <v>0</v>
      </c>
      <c r="N147" s="22">
        <f t="shared" si="22"/>
        <v>1615715.47</v>
      </c>
      <c r="O147" s="23">
        <f t="shared" si="23"/>
        <v>0</v>
      </c>
    </row>
    <row r="148" spans="1:15" customFormat="1">
      <c r="A148" s="54">
        <v>5</v>
      </c>
      <c r="B148" s="32" t="s">
        <v>148</v>
      </c>
      <c r="C148" s="9" t="s">
        <v>370</v>
      </c>
      <c r="D148" s="43">
        <v>48500</v>
      </c>
      <c r="E148" s="44"/>
      <c r="F148" s="24">
        <f t="shared" si="16"/>
        <v>48500</v>
      </c>
      <c r="G148" s="25">
        <f t="shared" si="17"/>
        <v>0</v>
      </c>
      <c r="H148" s="43"/>
      <c r="I148" s="44"/>
      <c r="J148" s="27">
        <f t="shared" si="18"/>
        <v>48500</v>
      </c>
      <c r="K148" s="25">
        <f t="shared" si="19"/>
        <v>0</v>
      </c>
      <c r="L148" s="18">
        <f t="shared" si="20"/>
        <v>0</v>
      </c>
      <c r="M148" s="19">
        <f t="shared" si="21"/>
        <v>0</v>
      </c>
      <c r="N148" s="22">
        <f t="shared" si="22"/>
        <v>48500</v>
      </c>
      <c r="O148" s="23">
        <f t="shared" si="23"/>
        <v>0</v>
      </c>
    </row>
    <row r="149" spans="1:15" customFormat="1">
      <c r="A149" s="54">
        <v>5</v>
      </c>
      <c r="B149" s="32" t="s">
        <v>149</v>
      </c>
      <c r="C149" s="9" t="s">
        <v>371</v>
      </c>
      <c r="D149" s="43">
        <v>154600</v>
      </c>
      <c r="E149" s="44"/>
      <c r="F149" s="24">
        <f t="shared" si="16"/>
        <v>154600</v>
      </c>
      <c r="G149" s="25">
        <f t="shared" si="17"/>
        <v>0</v>
      </c>
      <c r="H149" s="43"/>
      <c r="I149" s="44"/>
      <c r="J149" s="27">
        <f t="shared" si="18"/>
        <v>154600</v>
      </c>
      <c r="K149" s="25">
        <f t="shared" si="19"/>
        <v>0</v>
      </c>
      <c r="L149" s="18">
        <f t="shared" si="20"/>
        <v>0</v>
      </c>
      <c r="M149" s="19">
        <f t="shared" si="21"/>
        <v>0</v>
      </c>
      <c r="N149" s="22">
        <f t="shared" si="22"/>
        <v>154600</v>
      </c>
      <c r="O149" s="23">
        <f t="shared" si="23"/>
        <v>0</v>
      </c>
    </row>
    <row r="150" spans="1:15" customFormat="1">
      <c r="A150" s="54">
        <v>5</v>
      </c>
      <c r="B150" s="32" t="s">
        <v>150</v>
      </c>
      <c r="C150" s="9" t="s">
        <v>372</v>
      </c>
      <c r="D150" s="43">
        <v>48500</v>
      </c>
      <c r="E150" s="44"/>
      <c r="F150" s="24">
        <f t="shared" si="16"/>
        <v>48500</v>
      </c>
      <c r="G150" s="25">
        <f t="shared" si="17"/>
        <v>0</v>
      </c>
      <c r="H150" s="43"/>
      <c r="I150" s="44"/>
      <c r="J150" s="27">
        <f t="shared" si="18"/>
        <v>48500</v>
      </c>
      <c r="K150" s="25">
        <f t="shared" si="19"/>
        <v>0</v>
      </c>
      <c r="L150" s="18">
        <f t="shared" si="20"/>
        <v>0</v>
      </c>
      <c r="M150" s="19">
        <f t="shared" si="21"/>
        <v>0</v>
      </c>
      <c r="N150" s="22">
        <f t="shared" si="22"/>
        <v>48500</v>
      </c>
      <c r="O150" s="23">
        <f t="shared" si="23"/>
        <v>0</v>
      </c>
    </row>
    <row r="151" spans="1:15" customFormat="1">
      <c r="A151" s="54">
        <v>5</v>
      </c>
      <c r="B151" s="32" t="s">
        <v>151</v>
      </c>
      <c r="C151" s="9" t="s">
        <v>373</v>
      </c>
      <c r="D151" s="43">
        <v>6262611.1100000003</v>
      </c>
      <c r="E151" s="44"/>
      <c r="F151" s="24">
        <f t="shared" si="16"/>
        <v>6262611.1100000003</v>
      </c>
      <c r="G151" s="25">
        <f t="shared" si="17"/>
        <v>0</v>
      </c>
      <c r="H151" s="43"/>
      <c r="I151" s="44"/>
      <c r="J151" s="27">
        <f t="shared" si="18"/>
        <v>6262611.1100000003</v>
      </c>
      <c r="K151" s="25">
        <f t="shared" si="19"/>
        <v>0</v>
      </c>
      <c r="L151" s="18">
        <f t="shared" si="20"/>
        <v>0</v>
      </c>
      <c r="M151" s="19">
        <f t="shared" si="21"/>
        <v>0</v>
      </c>
      <c r="N151" s="22">
        <f t="shared" si="22"/>
        <v>6262611.1100000003</v>
      </c>
      <c r="O151" s="23">
        <f t="shared" si="23"/>
        <v>0</v>
      </c>
    </row>
    <row r="152" spans="1:15" customFormat="1">
      <c r="A152" s="54">
        <v>5</v>
      </c>
      <c r="B152" s="32" t="s">
        <v>152</v>
      </c>
      <c r="C152" s="9" t="s">
        <v>374</v>
      </c>
      <c r="D152" s="43">
        <v>510857.98000000004</v>
      </c>
      <c r="E152" s="44"/>
      <c r="F152" s="24">
        <f t="shared" si="16"/>
        <v>510857.98000000004</v>
      </c>
      <c r="G152" s="25">
        <f t="shared" si="17"/>
        <v>0</v>
      </c>
      <c r="H152" s="43"/>
      <c r="I152" s="44"/>
      <c r="J152" s="27">
        <f t="shared" si="18"/>
        <v>510857.98000000004</v>
      </c>
      <c r="K152" s="25">
        <f t="shared" si="19"/>
        <v>0</v>
      </c>
      <c r="L152" s="18">
        <f t="shared" si="20"/>
        <v>0</v>
      </c>
      <c r="M152" s="19">
        <f t="shared" si="21"/>
        <v>0</v>
      </c>
      <c r="N152" s="22">
        <f t="shared" si="22"/>
        <v>510857.98000000004</v>
      </c>
      <c r="O152" s="23">
        <f t="shared" si="23"/>
        <v>0</v>
      </c>
    </row>
    <row r="153" spans="1:15" customFormat="1">
      <c r="A153" s="54">
        <v>5</v>
      </c>
      <c r="B153" s="32" t="s">
        <v>153</v>
      </c>
      <c r="C153" s="9" t="s">
        <v>375</v>
      </c>
      <c r="D153" s="43">
        <v>2962570.88</v>
      </c>
      <c r="E153" s="44"/>
      <c r="F153" s="24">
        <f t="shared" si="16"/>
        <v>2962570.88</v>
      </c>
      <c r="G153" s="25">
        <f t="shared" si="17"/>
        <v>0</v>
      </c>
      <c r="H153" s="43"/>
      <c r="I153" s="44"/>
      <c r="J153" s="27">
        <f t="shared" si="18"/>
        <v>2962570.88</v>
      </c>
      <c r="K153" s="25">
        <f t="shared" si="19"/>
        <v>0</v>
      </c>
      <c r="L153" s="18">
        <f t="shared" si="20"/>
        <v>0</v>
      </c>
      <c r="M153" s="19">
        <f t="shared" si="21"/>
        <v>0</v>
      </c>
      <c r="N153" s="22">
        <f t="shared" si="22"/>
        <v>2962570.88</v>
      </c>
      <c r="O153" s="23">
        <f t="shared" si="23"/>
        <v>0</v>
      </c>
    </row>
    <row r="154" spans="1:15" customFormat="1">
      <c r="A154" s="54">
        <v>5</v>
      </c>
      <c r="B154" s="32" t="s">
        <v>154</v>
      </c>
      <c r="C154" s="9" t="s">
        <v>376</v>
      </c>
      <c r="D154" s="43">
        <f>1931593.42-24564.5</f>
        <v>1907028.92</v>
      </c>
      <c r="E154" s="44"/>
      <c r="F154" s="24">
        <f t="shared" si="16"/>
        <v>1907028.92</v>
      </c>
      <c r="G154" s="25">
        <f t="shared" si="17"/>
        <v>0</v>
      </c>
      <c r="H154" s="43"/>
      <c r="I154" s="44"/>
      <c r="J154" s="27">
        <f t="shared" si="18"/>
        <v>1907028.92</v>
      </c>
      <c r="K154" s="25">
        <f t="shared" si="19"/>
        <v>0</v>
      </c>
      <c r="L154" s="18">
        <f t="shared" si="20"/>
        <v>0</v>
      </c>
      <c r="M154" s="19">
        <f t="shared" si="21"/>
        <v>0</v>
      </c>
      <c r="N154" s="22">
        <f t="shared" si="22"/>
        <v>1907028.92</v>
      </c>
      <c r="O154" s="23">
        <f t="shared" si="23"/>
        <v>0</v>
      </c>
    </row>
    <row r="155" spans="1:15" customFormat="1">
      <c r="A155" s="54">
        <v>5</v>
      </c>
      <c r="B155" s="32" t="s">
        <v>155</v>
      </c>
      <c r="C155" s="9" t="s">
        <v>377</v>
      </c>
      <c r="D155" s="43"/>
      <c r="E155" s="44"/>
      <c r="F155" s="24">
        <f t="shared" si="16"/>
        <v>0</v>
      </c>
      <c r="G155" s="25">
        <f t="shared" si="17"/>
        <v>0</v>
      </c>
      <c r="H155" s="43"/>
      <c r="I155" s="44"/>
      <c r="J155" s="27">
        <f t="shared" si="18"/>
        <v>0</v>
      </c>
      <c r="K155" s="25">
        <f t="shared" si="19"/>
        <v>0</v>
      </c>
      <c r="L155" s="18">
        <f t="shared" si="20"/>
        <v>0</v>
      </c>
      <c r="M155" s="19">
        <f t="shared" si="21"/>
        <v>0</v>
      </c>
      <c r="N155" s="22">
        <f t="shared" si="22"/>
        <v>0</v>
      </c>
      <c r="O155" s="23">
        <f t="shared" si="23"/>
        <v>0</v>
      </c>
    </row>
    <row r="156" spans="1:15" customFormat="1">
      <c r="A156" s="54">
        <v>5</v>
      </c>
      <c r="B156" s="32" t="s">
        <v>156</v>
      </c>
      <c r="C156" s="9" t="s">
        <v>378</v>
      </c>
      <c r="D156" s="43">
        <v>683696.95</v>
      </c>
      <c r="E156" s="44"/>
      <c r="F156" s="24">
        <f t="shared" si="16"/>
        <v>683696.95</v>
      </c>
      <c r="G156" s="25">
        <f t="shared" si="17"/>
        <v>0</v>
      </c>
      <c r="H156" s="43"/>
      <c r="I156" s="44"/>
      <c r="J156" s="27">
        <f t="shared" si="18"/>
        <v>683696.95</v>
      </c>
      <c r="K156" s="25">
        <f t="shared" si="19"/>
        <v>0</v>
      </c>
      <c r="L156" s="18">
        <f t="shared" si="20"/>
        <v>0</v>
      </c>
      <c r="M156" s="19">
        <f t="shared" si="21"/>
        <v>0</v>
      </c>
      <c r="N156" s="22">
        <f t="shared" si="22"/>
        <v>683696.95</v>
      </c>
      <c r="O156" s="23">
        <f t="shared" si="23"/>
        <v>0</v>
      </c>
    </row>
    <row r="157" spans="1:15" customFormat="1">
      <c r="A157" s="54">
        <v>5</v>
      </c>
      <c r="B157" s="32" t="s">
        <v>157</v>
      </c>
      <c r="C157" s="9" t="s">
        <v>379</v>
      </c>
      <c r="D157" s="43">
        <v>62423.63</v>
      </c>
      <c r="E157" s="44"/>
      <c r="F157" s="24">
        <f t="shared" si="16"/>
        <v>62423.63</v>
      </c>
      <c r="G157" s="25">
        <f t="shared" si="17"/>
        <v>0</v>
      </c>
      <c r="H157" s="43"/>
      <c r="I157" s="44"/>
      <c r="J157" s="27">
        <f t="shared" si="18"/>
        <v>62423.63</v>
      </c>
      <c r="K157" s="25">
        <f t="shared" si="19"/>
        <v>0</v>
      </c>
      <c r="L157" s="18">
        <f t="shared" si="20"/>
        <v>0</v>
      </c>
      <c r="M157" s="19">
        <f t="shared" si="21"/>
        <v>0</v>
      </c>
      <c r="N157" s="22">
        <f t="shared" si="22"/>
        <v>62423.63</v>
      </c>
      <c r="O157" s="23">
        <f t="shared" si="23"/>
        <v>0</v>
      </c>
    </row>
    <row r="158" spans="1:15" customFormat="1">
      <c r="A158" s="54">
        <v>5</v>
      </c>
      <c r="B158" s="32" t="s">
        <v>158</v>
      </c>
      <c r="C158" s="9" t="s">
        <v>380</v>
      </c>
      <c r="D158" s="73">
        <f>560045.08-20601.25</f>
        <v>539443.82999999996</v>
      </c>
      <c r="E158" s="44"/>
      <c r="F158" s="24">
        <f t="shared" si="16"/>
        <v>539443.82999999996</v>
      </c>
      <c r="G158" s="25">
        <f t="shared" si="17"/>
        <v>0</v>
      </c>
      <c r="H158" s="43"/>
      <c r="I158" s="44"/>
      <c r="J158" s="27">
        <f t="shared" si="18"/>
        <v>539443.82999999996</v>
      </c>
      <c r="K158" s="25">
        <f t="shared" si="19"/>
        <v>0</v>
      </c>
      <c r="L158" s="18">
        <f t="shared" si="20"/>
        <v>0</v>
      </c>
      <c r="M158" s="19">
        <f t="shared" si="21"/>
        <v>0</v>
      </c>
      <c r="N158" s="22">
        <f t="shared" si="22"/>
        <v>539443.82999999996</v>
      </c>
      <c r="O158" s="23">
        <f t="shared" si="23"/>
        <v>0</v>
      </c>
    </row>
    <row r="159" spans="1:15" customFormat="1">
      <c r="A159" s="54">
        <v>5</v>
      </c>
      <c r="B159" s="32" t="s">
        <v>159</v>
      </c>
      <c r="C159" s="9" t="s">
        <v>381</v>
      </c>
      <c r="D159" s="43">
        <v>234240</v>
      </c>
      <c r="E159" s="44"/>
      <c r="F159" s="24">
        <f t="shared" si="16"/>
        <v>234240</v>
      </c>
      <c r="G159" s="25">
        <f t="shared" si="17"/>
        <v>0</v>
      </c>
      <c r="H159" s="43"/>
      <c r="I159" s="44"/>
      <c r="J159" s="27">
        <f t="shared" si="18"/>
        <v>234240</v>
      </c>
      <c r="K159" s="25">
        <f t="shared" si="19"/>
        <v>0</v>
      </c>
      <c r="L159" s="18">
        <f t="shared" si="20"/>
        <v>0</v>
      </c>
      <c r="M159" s="19">
        <f t="shared" si="21"/>
        <v>0</v>
      </c>
      <c r="N159" s="22">
        <f t="shared" si="22"/>
        <v>234240</v>
      </c>
      <c r="O159" s="23">
        <f t="shared" si="23"/>
        <v>0</v>
      </c>
    </row>
    <row r="160" spans="1:15" customFormat="1">
      <c r="A160" s="54">
        <v>5</v>
      </c>
      <c r="B160" s="32" t="s">
        <v>160</v>
      </c>
      <c r="C160" s="9" t="s">
        <v>382</v>
      </c>
      <c r="D160" s="43"/>
      <c r="E160" s="44"/>
      <c r="F160" s="24">
        <f t="shared" si="16"/>
        <v>0</v>
      </c>
      <c r="G160" s="25">
        <f t="shared" si="17"/>
        <v>0</v>
      </c>
      <c r="H160" s="43"/>
      <c r="I160" s="44"/>
      <c r="J160" s="27">
        <f t="shared" si="18"/>
        <v>0</v>
      </c>
      <c r="K160" s="25">
        <f t="shared" si="19"/>
        <v>0</v>
      </c>
      <c r="L160" s="18">
        <f t="shared" si="20"/>
        <v>0</v>
      </c>
      <c r="M160" s="19">
        <f t="shared" si="21"/>
        <v>0</v>
      </c>
      <c r="N160" s="22">
        <f t="shared" si="22"/>
        <v>0</v>
      </c>
      <c r="O160" s="23">
        <f t="shared" si="23"/>
        <v>0</v>
      </c>
    </row>
    <row r="161" spans="1:15" customFormat="1">
      <c r="A161" s="54">
        <v>5</v>
      </c>
      <c r="B161" s="32" t="s">
        <v>161</v>
      </c>
      <c r="C161" s="9" t="s">
        <v>383</v>
      </c>
      <c r="D161" s="43"/>
      <c r="E161" s="44"/>
      <c r="F161" s="24">
        <f t="shared" si="16"/>
        <v>0</v>
      </c>
      <c r="G161" s="25">
        <f t="shared" si="17"/>
        <v>0</v>
      </c>
      <c r="H161" s="43"/>
      <c r="I161" s="44"/>
      <c r="J161" s="27">
        <f t="shared" si="18"/>
        <v>0</v>
      </c>
      <c r="K161" s="25">
        <f t="shared" si="19"/>
        <v>0</v>
      </c>
      <c r="L161" s="18">
        <f t="shared" si="20"/>
        <v>0</v>
      </c>
      <c r="M161" s="19">
        <f t="shared" si="21"/>
        <v>0</v>
      </c>
      <c r="N161" s="22">
        <f t="shared" si="22"/>
        <v>0</v>
      </c>
      <c r="O161" s="23">
        <f t="shared" si="23"/>
        <v>0</v>
      </c>
    </row>
    <row r="162" spans="1:15" customFormat="1">
      <c r="A162" s="54">
        <v>5</v>
      </c>
      <c r="B162" s="32" t="s">
        <v>162</v>
      </c>
      <c r="C162" s="9" t="s">
        <v>384</v>
      </c>
      <c r="D162" s="43"/>
      <c r="E162" s="44"/>
      <c r="F162" s="24">
        <f t="shared" si="16"/>
        <v>0</v>
      </c>
      <c r="G162" s="25">
        <f t="shared" si="17"/>
        <v>0</v>
      </c>
      <c r="H162" s="43"/>
      <c r="I162" s="44"/>
      <c r="J162" s="27">
        <f t="shared" si="18"/>
        <v>0</v>
      </c>
      <c r="K162" s="25">
        <f t="shared" si="19"/>
        <v>0</v>
      </c>
      <c r="L162" s="18">
        <f t="shared" si="20"/>
        <v>0</v>
      </c>
      <c r="M162" s="19">
        <f t="shared" si="21"/>
        <v>0</v>
      </c>
      <c r="N162" s="22">
        <f t="shared" si="22"/>
        <v>0</v>
      </c>
      <c r="O162" s="23">
        <f t="shared" si="23"/>
        <v>0</v>
      </c>
    </row>
    <row r="163" spans="1:15" customFormat="1">
      <c r="A163" s="54">
        <v>5</v>
      </c>
      <c r="B163" s="32" t="s">
        <v>163</v>
      </c>
      <c r="C163" s="9" t="s">
        <v>385</v>
      </c>
      <c r="D163" s="43">
        <v>58295</v>
      </c>
      <c r="E163" s="44"/>
      <c r="F163" s="24">
        <f t="shared" si="16"/>
        <v>58295</v>
      </c>
      <c r="G163" s="25">
        <f t="shared" si="17"/>
        <v>0</v>
      </c>
      <c r="H163" s="43"/>
      <c r="I163" s="44"/>
      <c r="J163" s="27">
        <f t="shared" si="18"/>
        <v>58295</v>
      </c>
      <c r="K163" s="25">
        <f t="shared" si="19"/>
        <v>0</v>
      </c>
      <c r="L163" s="18">
        <f t="shared" si="20"/>
        <v>0</v>
      </c>
      <c r="M163" s="19">
        <f t="shared" si="21"/>
        <v>0</v>
      </c>
      <c r="N163" s="22">
        <f t="shared" si="22"/>
        <v>58295</v>
      </c>
      <c r="O163" s="23">
        <f t="shared" si="23"/>
        <v>0</v>
      </c>
    </row>
    <row r="164" spans="1:15" customFormat="1">
      <c r="A164" s="54">
        <v>5</v>
      </c>
      <c r="B164" s="32" t="s">
        <v>164</v>
      </c>
      <c r="C164" s="9" t="s">
        <v>386</v>
      </c>
      <c r="D164" s="43">
        <v>142533.46000000002</v>
      </c>
      <c r="E164" s="44"/>
      <c r="F164" s="24">
        <f t="shared" si="16"/>
        <v>142533.46000000002</v>
      </c>
      <c r="G164" s="25">
        <f t="shared" si="17"/>
        <v>0</v>
      </c>
      <c r="H164" s="43"/>
      <c r="I164" s="44"/>
      <c r="J164" s="27">
        <f t="shared" si="18"/>
        <v>142533.46000000002</v>
      </c>
      <c r="K164" s="25">
        <f t="shared" si="19"/>
        <v>0</v>
      </c>
      <c r="L164" s="18">
        <f t="shared" si="20"/>
        <v>0</v>
      </c>
      <c r="M164" s="19">
        <f t="shared" si="21"/>
        <v>0</v>
      </c>
      <c r="N164" s="22">
        <f t="shared" si="22"/>
        <v>142533.46000000002</v>
      </c>
      <c r="O164" s="23">
        <f t="shared" si="23"/>
        <v>0</v>
      </c>
    </row>
    <row r="165" spans="1:15" customFormat="1">
      <c r="A165" s="54">
        <v>5</v>
      </c>
      <c r="B165" s="32" t="s">
        <v>165</v>
      </c>
      <c r="C165" s="9" t="s">
        <v>387</v>
      </c>
      <c r="D165" s="43"/>
      <c r="E165" s="44"/>
      <c r="F165" s="24">
        <f t="shared" si="16"/>
        <v>0</v>
      </c>
      <c r="G165" s="25">
        <f t="shared" si="17"/>
        <v>0</v>
      </c>
      <c r="H165" s="43"/>
      <c r="I165" s="44"/>
      <c r="J165" s="27">
        <f t="shared" si="18"/>
        <v>0</v>
      </c>
      <c r="K165" s="25">
        <f t="shared" si="19"/>
        <v>0</v>
      </c>
      <c r="L165" s="18">
        <f t="shared" si="20"/>
        <v>0</v>
      </c>
      <c r="M165" s="19">
        <f t="shared" si="21"/>
        <v>0</v>
      </c>
      <c r="N165" s="22">
        <f t="shared" si="22"/>
        <v>0</v>
      </c>
      <c r="O165" s="23">
        <f t="shared" si="23"/>
        <v>0</v>
      </c>
    </row>
    <row r="166" spans="1:15" customFormat="1">
      <c r="A166" s="54">
        <v>5</v>
      </c>
      <c r="B166" s="32" t="s">
        <v>166</v>
      </c>
      <c r="C166" s="9" t="s">
        <v>388</v>
      </c>
      <c r="D166" s="43">
        <v>65500.57</v>
      </c>
      <c r="E166" s="44"/>
      <c r="F166" s="24">
        <f t="shared" si="16"/>
        <v>65500.57</v>
      </c>
      <c r="G166" s="25">
        <f t="shared" si="17"/>
        <v>0</v>
      </c>
      <c r="H166" s="43"/>
      <c r="I166" s="44"/>
      <c r="J166" s="27">
        <f t="shared" si="18"/>
        <v>65500.57</v>
      </c>
      <c r="K166" s="25">
        <f t="shared" si="19"/>
        <v>0</v>
      </c>
      <c r="L166" s="18">
        <f t="shared" si="20"/>
        <v>0</v>
      </c>
      <c r="M166" s="19">
        <f t="shared" si="21"/>
        <v>0</v>
      </c>
      <c r="N166" s="22">
        <f t="shared" si="22"/>
        <v>65500.57</v>
      </c>
      <c r="O166" s="23">
        <f t="shared" si="23"/>
        <v>0</v>
      </c>
    </row>
    <row r="167" spans="1:15" customFormat="1">
      <c r="A167" s="54">
        <v>5</v>
      </c>
      <c r="B167" s="32" t="s">
        <v>167</v>
      </c>
      <c r="C167" s="9" t="s">
        <v>389</v>
      </c>
      <c r="D167" s="43">
        <v>192303.04</v>
      </c>
      <c r="E167" s="44"/>
      <c r="F167" s="24">
        <f t="shared" si="16"/>
        <v>192303.04</v>
      </c>
      <c r="G167" s="25">
        <f t="shared" si="17"/>
        <v>0</v>
      </c>
      <c r="H167" s="43"/>
      <c r="I167" s="44"/>
      <c r="J167" s="27">
        <f t="shared" si="18"/>
        <v>192303.04</v>
      </c>
      <c r="K167" s="25">
        <f t="shared" si="19"/>
        <v>0</v>
      </c>
      <c r="L167" s="18">
        <f t="shared" si="20"/>
        <v>0</v>
      </c>
      <c r="M167" s="19">
        <f t="shared" si="21"/>
        <v>0</v>
      </c>
      <c r="N167" s="22">
        <f t="shared" si="22"/>
        <v>192303.04</v>
      </c>
      <c r="O167" s="23">
        <f t="shared" si="23"/>
        <v>0</v>
      </c>
    </row>
    <row r="168" spans="1:15" customFormat="1">
      <c r="A168" s="54">
        <v>5</v>
      </c>
      <c r="B168" s="32" t="s">
        <v>168</v>
      </c>
      <c r="C168" s="9" t="s">
        <v>390</v>
      </c>
      <c r="D168" s="43">
        <v>1042342.38</v>
      </c>
      <c r="E168" s="44"/>
      <c r="F168" s="24">
        <f t="shared" si="16"/>
        <v>1042342.38</v>
      </c>
      <c r="G168" s="25">
        <f t="shared" si="17"/>
        <v>0</v>
      </c>
      <c r="H168" s="43"/>
      <c r="I168" s="44"/>
      <c r="J168" s="27">
        <f t="shared" si="18"/>
        <v>1042342.38</v>
      </c>
      <c r="K168" s="25">
        <f t="shared" si="19"/>
        <v>0</v>
      </c>
      <c r="L168" s="18">
        <f t="shared" si="20"/>
        <v>0</v>
      </c>
      <c r="M168" s="19">
        <f t="shared" si="21"/>
        <v>0</v>
      </c>
      <c r="N168" s="22">
        <f t="shared" si="22"/>
        <v>1042342.38</v>
      </c>
      <c r="O168" s="23">
        <f t="shared" si="23"/>
        <v>0</v>
      </c>
    </row>
    <row r="169" spans="1:15" customFormat="1">
      <c r="A169" s="54">
        <v>5</v>
      </c>
      <c r="B169" s="32" t="s">
        <v>169</v>
      </c>
      <c r="C169" s="9" t="s">
        <v>391</v>
      </c>
      <c r="D169" s="43">
        <v>60493.3</v>
      </c>
      <c r="E169" s="44"/>
      <c r="F169" s="24">
        <f t="shared" si="16"/>
        <v>60493.3</v>
      </c>
      <c r="G169" s="25">
        <f t="shared" si="17"/>
        <v>0</v>
      </c>
      <c r="H169" s="43"/>
      <c r="I169" s="44"/>
      <c r="J169" s="27">
        <f t="shared" si="18"/>
        <v>60493.3</v>
      </c>
      <c r="K169" s="25">
        <f t="shared" si="19"/>
        <v>0</v>
      </c>
      <c r="L169" s="18">
        <f t="shared" si="20"/>
        <v>0</v>
      </c>
      <c r="M169" s="19">
        <f t="shared" si="21"/>
        <v>0</v>
      </c>
      <c r="N169" s="22">
        <f t="shared" si="22"/>
        <v>60493.3</v>
      </c>
      <c r="O169" s="23">
        <f t="shared" si="23"/>
        <v>0</v>
      </c>
    </row>
    <row r="170" spans="1:15" customFormat="1">
      <c r="A170" s="54">
        <v>5</v>
      </c>
      <c r="B170" s="32" t="s">
        <v>170</v>
      </c>
      <c r="C170" s="9" t="s">
        <v>392</v>
      </c>
      <c r="D170" s="43">
        <v>28021.97</v>
      </c>
      <c r="E170" s="44"/>
      <c r="F170" s="24">
        <f t="shared" si="16"/>
        <v>28021.97</v>
      </c>
      <c r="G170" s="25">
        <f t="shared" si="17"/>
        <v>0</v>
      </c>
      <c r="H170" s="43"/>
      <c r="I170" s="44"/>
      <c r="J170" s="27">
        <f t="shared" si="18"/>
        <v>28021.97</v>
      </c>
      <c r="K170" s="25">
        <f t="shared" si="19"/>
        <v>0</v>
      </c>
      <c r="L170" s="18">
        <f t="shared" si="20"/>
        <v>0</v>
      </c>
      <c r="M170" s="19">
        <f t="shared" si="21"/>
        <v>0</v>
      </c>
      <c r="N170" s="22">
        <f t="shared" si="22"/>
        <v>28021.97</v>
      </c>
      <c r="O170" s="23">
        <f t="shared" si="23"/>
        <v>0</v>
      </c>
    </row>
    <row r="171" spans="1:15" customFormat="1">
      <c r="A171" s="54">
        <v>5</v>
      </c>
      <c r="B171" s="32" t="s">
        <v>171</v>
      </c>
      <c r="C171" s="9" t="s">
        <v>393</v>
      </c>
      <c r="D171" s="43">
        <f>267468.15-28021.97</f>
        <v>239446.18000000002</v>
      </c>
      <c r="E171" s="44"/>
      <c r="F171" s="24">
        <f t="shared" si="16"/>
        <v>239446.18000000002</v>
      </c>
      <c r="G171" s="25">
        <f t="shared" si="17"/>
        <v>0</v>
      </c>
      <c r="H171" s="43"/>
      <c r="I171" s="44"/>
      <c r="J171" s="27">
        <f t="shared" si="18"/>
        <v>239446.18000000002</v>
      </c>
      <c r="K171" s="25">
        <f t="shared" si="19"/>
        <v>0</v>
      </c>
      <c r="L171" s="18">
        <f t="shared" si="20"/>
        <v>0</v>
      </c>
      <c r="M171" s="19">
        <f t="shared" si="21"/>
        <v>0</v>
      </c>
      <c r="N171" s="22">
        <f t="shared" si="22"/>
        <v>239446.18000000002</v>
      </c>
      <c r="O171" s="23">
        <f t="shared" si="23"/>
        <v>0</v>
      </c>
    </row>
    <row r="172" spans="1:15" customFormat="1">
      <c r="A172" s="54">
        <v>5</v>
      </c>
      <c r="B172" s="32" t="s">
        <v>172</v>
      </c>
      <c r="C172" s="9" t="s">
        <v>394</v>
      </c>
      <c r="D172" s="43">
        <v>109200</v>
      </c>
      <c r="E172" s="44"/>
      <c r="F172" s="24">
        <f t="shared" si="16"/>
        <v>109200</v>
      </c>
      <c r="G172" s="25">
        <f t="shared" si="17"/>
        <v>0</v>
      </c>
      <c r="H172" s="43"/>
      <c r="I172" s="44"/>
      <c r="J172" s="27">
        <f t="shared" si="18"/>
        <v>109200</v>
      </c>
      <c r="K172" s="25">
        <f t="shared" si="19"/>
        <v>0</v>
      </c>
      <c r="L172" s="18">
        <f t="shared" si="20"/>
        <v>0</v>
      </c>
      <c r="M172" s="19">
        <f t="shared" si="21"/>
        <v>0</v>
      </c>
      <c r="N172" s="22">
        <f t="shared" si="22"/>
        <v>109200</v>
      </c>
      <c r="O172" s="23">
        <f t="shared" si="23"/>
        <v>0</v>
      </c>
    </row>
    <row r="173" spans="1:15" customFormat="1">
      <c r="A173" s="54">
        <v>5</v>
      </c>
      <c r="B173" s="32" t="s">
        <v>173</v>
      </c>
      <c r="C173" s="9" t="s">
        <v>395</v>
      </c>
      <c r="D173" s="43">
        <v>13210</v>
      </c>
      <c r="E173" s="44"/>
      <c r="F173" s="24">
        <f t="shared" si="16"/>
        <v>13210</v>
      </c>
      <c r="G173" s="25">
        <f t="shared" si="17"/>
        <v>0</v>
      </c>
      <c r="H173" s="43"/>
      <c r="I173" s="44"/>
      <c r="J173" s="27">
        <f t="shared" si="18"/>
        <v>13210</v>
      </c>
      <c r="K173" s="25">
        <f t="shared" si="19"/>
        <v>0</v>
      </c>
      <c r="L173" s="18">
        <f t="shared" si="20"/>
        <v>0</v>
      </c>
      <c r="M173" s="19">
        <f t="shared" si="21"/>
        <v>0</v>
      </c>
      <c r="N173" s="22">
        <f t="shared" si="22"/>
        <v>13210</v>
      </c>
      <c r="O173" s="23">
        <f t="shared" si="23"/>
        <v>0</v>
      </c>
    </row>
    <row r="174" spans="1:15" customFormat="1">
      <c r="A174" s="54">
        <v>5</v>
      </c>
      <c r="B174" s="32" t="s">
        <v>174</v>
      </c>
      <c r="C174" s="9" t="s">
        <v>396</v>
      </c>
      <c r="D174" s="43"/>
      <c r="E174" s="44"/>
      <c r="F174" s="24">
        <f t="shared" si="16"/>
        <v>0</v>
      </c>
      <c r="G174" s="25">
        <f t="shared" si="17"/>
        <v>0</v>
      </c>
      <c r="H174" s="43"/>
      <c r="I174" s="44"/>
      <c r="J174" s="27">
        <f t="shared" si="18"/>
        <v>0</v>
      </c>
      <c r="K174" s="25">
        <f t="shared" si="19"/>
        <v>0</v>
      </c>
      <c r="L174" s="18">
        <f t="shared" si="20"/>
        <v>0</v>
      </c>
      <c r="M174" s="19">
        <f t="shared" si="21"/>
        <v>0</v>
      </c>
      <c r="N174" s="22">
        <f t="shared" si="22"/>
        <v>0</v>
      </c>
      <c r="O174" s="23">
        <f t="shared" si="23"/>
        <v>0</v>
      </c>
    </row>
    <row r="175" spans="1:15" customFormat="1">
      <c r="A175" s="54">
        <v>5</v>
      </c>
      <c r="B175" s="32" t="s">
        <v>175</v>
      </c>
      <c r="C175" s="9" t="s">
        <v>397</v>
      </c>
      <c r="D175" s="43"/>
      <c r="E175" s="44"/>
      <c r="F175" s="24">
        <f t="shared" si="16"/>
        <v>0</v>
      </c>
      <c r="G175" s="25">
        <f t="shared" si="17"/>
        <v>0</v>
      </c>
      <c r="H175" s="43"/>
      <c r="I175" s="44"/>
      <c r="J175" s="27">
        <f t="shared" si="18"/>
        <v>0</v>
      </c>
      <c r="K175" s="25">
        <f t="shared" si="19"/>
        <v>0</v>
      </c>
      <c r="L175" s="18">
        <f t="shared" si="20"/>
        <v>0</v>
      </c>
      <c r="M175" s="19">
        <f t="shared" si="21"/>
        <v>0</v>
      </c>
      <c r="N175" s="22">
        <f t="shared" si="22"/>
        <v>0</v>
      </c>
      <c r="O175" s="23">
        <f t="shared" si="23"/>
        <v>0</v>
      </c>
    </row>
    <row r="176" spans="1:15" customFormat="1">
      <c r="A176" s="54">
        <v>5</v>
      </c>
      <c r="B176" s="32" t="s">
        <v>176</v>
      </c>
      <c r="C176" s="9" t="s">
        <v>398</v>
      </c>
      <c r="D176" s="43">
        <v>98400</v>
      </c>
      <c r="E176" s="44"/>
      <c r="F176" s="24">
        <f t="shared" si="16"/>
        <v>98400</v>
      </c>
      <c r="G176" s="25">
        <f t="shared" si="17"/>
        <v>0</v>
      </c>
      <c r="H176" s="43"/>
      <c r="I176" s="44"/>
      <c r="J176" s="27">
        <f t="shared" si="18"/>
        <v>98400</v>
      </c>
      <c r="K176" s="25">
        <f t="shared" si="19"/>
        <v>0</v>
      </c>
      <c r="L176" s="18">
        <f t="shared" si="20"/>
        <v>0</v>
      </c>
      <c r="M176" s="19">
        <f t="shared" si="21"/>
        <v>0</v>
      </c>
      <c r="N176" s="22">
        <f t="shared" si="22"/>
        <v>98400</v>
      </c>
      <c r="O176" s="23">
        <f t="shared" si="23"/>
        <v>0</v>
      </c>
    </row>
    <row r="177" spans="1:15" customFormat="1">
      <c r="A177" s="54">
        <v>5</v>
      </c>
      <c r="B177" s="32" t="s">
        <v>177</v>
      </c>
      <c r="C177" s="9" t="s">
        <v>399</v>
      </c>
      <c r="D177" s="43">
        <v>100</v>
      </c>
      <c r="E177" s="44"/>
      <c r="F177" s="24">
        <f t="shared" si="16"/>
        <v>100</v>
      </c>
      <c r="G177" s="25">
        <f t="shared" si="17"/>
        <v>0</v>
      </c>
      <c r="H177" s="43"/>
      <c r="I177" s="44"/>
      <c r="J177" s="27">
        <f t="shared" si="18"/>
        <v>100</v>
      </c>
      <c r="K177" s="25">
        <f t="shared" si="19"/>
        <v>0</v>
      </c>
      <c r="L177" s="18">
        <f t="shared" si="20"/>
        <v>0</v>
      </c>
      <c r="M177" s="19">
        <f t="shared" si="21"/>
        <v>0</v>
      </c>
      <c r="N177" s="22">
        <f t="shared" si="22"/>
        <v>100</v>
      </c>
      <c r="O177" s="23">
        <f t="shared" si="23"/>
        <v>0</v>
      </c>
    </row>
    <row r="178" spans="1:15" customFormat="1">
      <c r="A178" s="54">
        <v>5</v>
      </c>
      <c r="B178" s="32" t="s">
        <v>178</v>
      </c>
      <c r="C178" s="9" t="s">
        <v>400</v>
      </c>
      <c r="D178" s="43">
        <v>41727.620000000003</v>
      </c>
      <c r="E178" s="44"/>
      <c r="F178" s="24">
        <f t="shared" si="16"/>
        <v>41727.620000000003</v>
      </c>
      <c r="G178" s="25">
        <f t="shared" si="17"/>
        <v>0</v>
      </c>
      <c r="H178" s="43"/>
      <c r="I178" s="44"/>
      <c r="J178" s="27">
        <f t="shared" si="18"/>
        <v>41727.620000000003</v>
      </c>
      <c r="K178" s="25">
        <f t="shared" si="19"/>
        <v>0</v>
      </c>
      <c r="L178" s="18">
        <f t="shared" si="20"/>
        <v>0</v>
      </c>
      <c r="M178" s="19">
        <f t="shared" si="21"/>
        <v>0</v>
      </c>
      <c r="N178" s="22">
        <f t="shared" si="22"/>
        <v>41727.620000000003</v>
      </c>
      <c r="O178" s="23">
        <f t="shared" si="23"/>
        <v>0</v>
      </c>
    </row>
    <row r="179" spans="1:15" customFormat="1">
      <c r="A179" s="54">
        <v>5</v>
      </c>
      <c r="B179" s="32" t="s">
        <v>179</v>
      </c>
      <c r="C179" s="9" t="s">
        <v>401</v>
      </c>
      <c r="D179" s="43"/>
      <c r="E179" s="44"/>
      <c r="F179" s="24">
        <f t="shared" si="16"/>
        <v>0</v>
      </c>
      <c r="G179" s="25">
        <f t="shared" si="17"/>
        <v>0</v>
      </c>
      <c r="H179" s="43"/>
      <c r="I179" s="44"/>
      <c r="J179" s="27">
        <f t="shared" si="18"/>
        <v>0</v>
      </c>
      <c r="K179" s="25">
        <f t="shared" si="19"/>
        <v>0</v>
      </c>
      <c r="L179" s="18">
        <f t="shared" si="20"/>
        <v>0</v>
      </c>
      <c r="M179" s="19">
        <f t="shared" si="21"/>
        <v>0</v>
      </c>
      <c r="N179" s="22">
        <f t="shared" si="22"/>
        <v>0</v>
      </c>
      <c r="O179" s="23">
        <f t="shared" si="23"/>
        <v>0</v>
      </c>
    </row>
    <row r="180" spans="1:15" customFormat="1">
      <c r="A180" s="54">
        <v>5</v>
      </c>
      <c r="B180" s="32" t="s">
        <v>180</v>
      </c>
      <c r="C180" s="9" t="s">
        <v>402</v>
      </c>
      <c r="D180" s="43">
        <v>2051928.6800000002</v>
      </c>
      <c r="E180" s="44"/>
      <c r="F180" s="24">
        <f t="shared" si="16"/>
        <v>2051928.6800000002</v>
      </c>
      <c r="G180" s="25">
        <f t="shared" si="17"/>
        <v>0</v>
      </c>
      <c r="H180" s="43"/>
      <c r="I180" s="44"/>
      <c r="J180" s="27">
        <f t="shared" si="18"/>
        <v>2051928.6800000002</v>
      </c>
      <c r="K180" s="25">
        <f t="shared" si="19"/>
        <v>0</v>
      </c>
      <c r="L180" s="18">
        <f t="shared" si="20"/>
        <v>0</v>
      </c>
      <c r="M180" s="19">
        <f t="shared" si="21"/>
        <v>0</v>
      </c>
      <c r="N180" s="22">
        <f t="shared" si="22"/>
        <v>2051928.6800000002</v>
      </c>
      <c r="O180" s="23">
        <f t="shared" si="23"/>
        <v>0</v>
      </c>
    </row>
    <row r="181" spans="1:15" customFormat="1">
      <c r="A181" s="54">
        <v>5</v>
      </c>
      <c r="B181" s="32" t="s">
        <v>181</v>
      </c>
      <c r="C181" s="9" t="s">
        <v>403</v>
      </c>
      <c r="D181" s="43">
        <v>259309.85</v>
      </c>
      <c r="E181" s="44"/>
      <c r="F181" s="24">
        <f t="shared" si="16"/>
        <v>259309.85</v>
      </c>
      <c r="G181" s="25">
        <f t="shared" si="17"/>
        <v>0</v>
      </c>
      <c r="H181" s="43"/>
      <c r="I181" s="44"/>
      <c r="J181" s="27">
        <f t="shared" si="18"/>
        <v>259309.85</v>
      </c>
      <c r="K181" s="25">
        <f t="shared" si="19"/>
        <v>0</v>
      </c>
      <c r="L181" s="18">
        <f t="shared" si="20"/>
        <v>0</v>
      </c>
      <c r="M181" s="19">
        <f t="shared" si="21"/>
        <v>0</v>
      </c>
      <c r="N181" s="22">
        <f t="shared" si="22"/>
        <v>259309.85</v>
      </c>
      <c r="O181" s="23">
        <f t="shared" si="23"/>
        <v>0</v>
      </c>
    </row>
    <row r="182" spans="1:15" customFormat="1">
      <c r="A182" s="54">
        <v>5</v>
      </c>
      <c r="B182" s="32" t="s">
        <v>182</v>
      </c>
      <c r="C182" s="9" t="s">
        <v>404</v>
      </c>
      <c r="D182" s="43">
        <v>408153</v>
      </c>
      <c r="E182" s="44"/>
      <c r="F182" s="24">
        <f t="shared" si="16"/>
        <v>408153</v>
      </c>
      <c r="G182" s="25">
        <f t="shared" si="17"/>
        <v>0</v>
      </c>
      <c r="H182" s="43"/>
      <c r="I182" s="44"/>
      <c r="J182" s="27">
        <f t="shared" si="18"/>
        <v>408153</v>
      </c>
      <c r="K182" s="25">
        <f t="shared" si="19"/>
        <v>0</v>
      </c>
      <c r="L182" s="18">
        <f t="shared" si="20"/>
        <v>0</v>
      </c>
      <c r="M182" s="19">
        <f t="shared" si="21"/>
        <v>0</v>
      </c>
      <c r="N182" s="22">
        <f t="shared" si="22"/>
        <v>408153</v>
      </c>
      <c r="O182" s="23">
        <f t="shared" si="23"/>
        <v>0</v>
      </c>
    </row>
    <row r="183" spans="1:15" customFormat="1">
      <c r="A183" s="54">
        <v>5</v>
      </c>
      <c r="B183" s="32" t="s">
        <v>183</v>
      </c>
      <c r="C183" s="9" t="s">
        <v>405</v>
      </c>
      <c r="D183" s="43">
        <v>294650.43</v>
      </c>
      <c r="E183" s="44"/>
      <c r="F183" s="24">
        <f t="shared" si="16"/>
        <v>294650.43</v>
      </c>
      <c r="G183" s="25">
        <f t="shared" si="17"/>
        <v>0</v>
      </c>
      <c r="H183" s="43"/>
      <c r="I183" s="44"/>
      <c r="J183" s="27">
        <f t="shared" si="18"/>
        <v>294650.43</v>
      </c>
      <c r="K183" s="25">
        <f t="shared" si="19"/>
        <v>0</v>
      </c>
      <c r="L183" s="18">
        <f t="shared" si="20"/>
        <v>0</v>
      </c>
      <c r="M183" s="19">
        <f t="shared" si="21"/>
        <v>0</v>
      </c>
      <c r="N183" s="22">
        <f t="shared" si="22"/>
        <v>294650.43</v>
      </c>
      <c r="O183" s="23">
        <f t="shared" si="23"/>
        <v>0</v>
      </c>
    </row>
    <row r="184" spans="1:15" customFormat="1">
      <c r="A184" s="54">
        <v>5</v>
      </c>
      <c r="B184" s="32" t="s">
        <v>184</v>
      </c>
      <c r="C184" s="9" t="s">
        <v>406</v>
      </c>
      <c r="D184" s="43">
        <v>61939.3</v>
      </c>
      <c r="E184" s="44"/>
      <c r="F184" s="24">
        <f t="shared" si="16"/>
        <v>61939.3</v>
      </c>
      <c r="G184" s="25">
        <f t="shared" si="17"/>
        <v>0</v>
      </c>
      <c r="H184" s="43"/>
      <c r="I184" s="44"/>
      <c r="J184" s="27">
        <f t="shared" si="18"/>
        <v>61939.3</v>
      </c>
      <c r="K184" s="25">
        <f t="shared" si="19"/>
        <v>0</v>
      </c>
      <c r="L184" s="18">
        <f t="shared" si="20"/>
        <v>0</v>
      </c>
      <c r="M184" s="19">
        <f t="shared" si="21"/>
        <v>0</v>
      </c>
      <c r="N184" s="22">
        <f t="shared" si="22"/>
        <v>61939.3</v>
      </c>
      <c r="O184" s="23">
        <f t="shared" si="23"/>
        <v>0</v>
      </c>
    </row>
    <row r="185" spans="1:15" customFormat="1">
      <c r="A185" s="54">
        <v>5</v>
      </c>
      <c r="B185" s="32" t="s">
        <v>185</v>
      </c>
      <c r="C185" s="9" t="s">
        <v>407</v>
      </c>
      <c r="D185" s="43">
        <v>119471</v>
      </c>
      <c r="E185" s="44"/>
      <c r="F185" s="24">
        <f t="shared" si="16"/>
        <v>119471</v>
      </c>
      <c r="G185" s="25">
        <f t="shared" si="17"/>
        <v>0</v>
      </c>
      <c r="H185" s="43"/>
      <c r="I185" s="44"/>
      <c r="J185" s="27">
        <f t="shared" si="18"/>
        <v>119471</v>
      </c>
      <c r="K185" s="25">
        <f t="shared" si="19"/>
        <v>0</v>
      </c>
      <c r="L185" s="18">
        <f t="shared" si="20"/>
        <v>0</v>
      </c>
      <c r="M185" s="19">
        <f t="shared" si="21"/>
        <v>0</v>
      </c>
      <c r="N185" s="22">
        <f t="shared" si="22"/>
        <v>119471</v>
      </c>
      <c r="O185" s="23">
        <f t="shared" si="23"/>
        <v>0</v>
      </c>
    </row>
    <row r="186" spans="1:15" customFormat="1">
      <c r="A186" s="54">
        <v>5</v>
      </c>
      <c r="B186" s="32" t="s">
        <v>186</v>
      </c>
      <c r="C186" s="9" t="s">
        <v>408</v>
      </c>
      <c r="D186" s="43">
        <v>1300</v>
      </c>
      <c r="E186" s="44"/>
      <c r="F186" s="24">
        <f t="shared" si="16"/>
        <v>1300</v>
      </c>
      <c r="G186" s="25">
        <f t="shared" si="17"/>
        <v>0</v>
      </c>
      <c r="H186" s="43"/>
      <c r="I186" s="44"/>
      <c r="J186" s="27">
        <f t="shared" si="18"/>
        <v>1300</v>
      </c>
      <c r="K186" s="25">
        <f t="shared" si="19"/>
        <v>0</v>
      </c>
      <c r="L186" s="18">
        <f t="shared" si="20"/>
        <v>0</v>
      </c>
      <c r="M186" s="19">
        <f t="shared" si="21"/>
        <v>0</v>
      </c>
      <c r="N186" s="22">
        <f t="shared" si="22"/>
        <v>1300</v>
      </c>
      <c r="O186" s="23">
        <f t="shared" si="23"/>
        <v>0</v>
      </c>
    </row>
    <row r="187" spans="1:15" customFormat="1">
      <c r="A187" s="54">
        <v>5</v>
      </c>
      <c r="B187" s="32" t="s">
        <v>187</v>
      </c>
      <c r="C187" s="9" t="s">
        <v>409</v>
      </c>
      <c r="D187" s="43"/>
      <c r="E187" s="44"/>
      <c r="F187" s="24">
        <f t="shared" si="16"/>
        <v>0</v>
      </c>
      <c r="G187" s="25">
        <f t="shared" si="17"/>
        <v>0</v>
      </c>
      <c r="H187" s="43"/>
      <c r="I187" s="44"/>
      <c r="J187" s="27">
        <f t="shared" si="18"/>
        <v>0</v>
      </c>
      <c r="K187" s="25">
        <f t="shared" si="19"/>
        <v>0</v>
      </c>
      <c r="L187" s="18">
        <f t="shared" si="20"/>
        <v>0</v>
      </c>
      <c r="M187" s="19">
        <f t="shared" si="21"/>
        <v>0</v>
      </c>
      <c r="N187" s="22">
        <f t="shared" si="22"/>
        <v>0</v>
      </c>
      <c r="O187" s="23">
        <f t="shared" si="23"/>
        <v>0</v>
      </c>
    </row>
    <row r="188" spans="1:15" customFormat="1">
      <c r="A188" s="54">
        <v>5</v>
      </c>
      <c r="B188" s="32" t="s">
        <v>188</v>
      </c>
      <c r="C188" s="9" t="s">
        <v>410</v>
      </c>
      <c r="D188" s="43"/>
      <c r="E188" s="44"/>
      <c r="F188" s="24">
        <f t="shared" si="16"/>
        <v>0</v>
      </c>
      <c r="G188" s="25">
        <f t="shared" si="17"/>
        <v>0</v>
      </c>
      <c r="H188" s="43"/>
      <c r="I188" s="44"/>
      <c r="J188" s="27">
        <f t="shared" si="18"/>
        <v>0</v>
      </c>
      <c r="K188" s="25">
        <f t="shared" si="19"/>
        <v>0</v>
      </c>
      <c r="L188" s="18">
        <f t="shared" si="20"/>
        <v>0</v>
      </c>
      <c r="M188" s="19">
        <f t="shared" si="21"/>
        <v>0</v>
      </c>
      <c r="N188" s="22">
        <f t="shared" si="22"/>
        <v>0</v>
      </c>
      <c r="O188" s="23">
        <f t="shared" si="23"/>
        <v>0</v>
      </c>
    </row>
    <row r="189" spans="1:15" customFormat="1">
      <c r="A189" s="54">
        <v>5</v>
      </c>
      <c r="B189" s="32" t="s">
        <v>189</v>
      </c>
      <c r="C189" s="9" t="s">
        <v>411</v>
      </c>
      <c r="D189" s="43"/>
      <c r="E189" s="44"/>
      <c r="F189" s="24">
        <f t="shared" si="16"/>
        <v>0</v>
      </c>
      <c r="G189" s="25">
        <f t="shared" si="17"/>
        <v>0</v>
      </c>
      <c r="H189" s="43"/>
      <c r="I189" s="44"/>
      <c r="J189" s="27">
        <f t="shared" si="18"/>
        <v>0</v>
      </c>
      <c r="K189" s="25">
        <f t="shared" si="19"/>
        <v>0</v>
      </c>
      <c r="L189" s="18">
        <f t="shared" si="20"/>
        <v>0</v>
      </c>
      <c r="M189" s="19">
        <f t="shared" si="21"/>
        <v>0</v>
      </c>
      <c r="N189" s="22">
        <f t="shared" si="22"/>
        <v>0</v>
      </c>
      <c r="O189" s="23">
        <f t="shared" si="23"/>
        <v>0</v>
      </c>
    </row>
    <row r="190" spans="1:15" customFormat="1">
      <c r="A190" s="54">
        <v>5</v>
      </c>
      <c r="B190" s="32" t="s">
        <v>190</v>
      </c>
      <c r="C190" s="9" t="s">
        <v>412</v>
      </c>
      <c r="D190" s="43">
        <v>219663.79</v>
      </c>
      <c r="E190" s="44"/>
      <c r="F190" s="24">
        <f t="shared" si="16"/>
        <v>219663.79</v>
      </c>
      <c r="G190" s="25">
        <f t="shared" si="17"/>
        <v>0</v>
      </c>
      <c r="H190" s="43"/>
      <c r="I190" s="44"/>
      <c r="J190" s="27">
        <f t="shared" si="18"/>
        <v>219663.79</v>
      </c>
      <c r="K190" s="25">
        <f t="shared" si="19"/>
        <v>0</v>
      </c>
      <c r="L190" s="18">
        <f t="shared" si="20"/>
        <v>0</v>
      </c>
      <c r="M190" s="19">
        <f t="shared" si="21"/>
        <v>0</v>
      </c>
      <c r="N190" s="22">
        <f t="shared" si="22"/>
        <v>219663.79</v>
      </c>
      <c r="O190" s="23">
        <f t="shared" si="23"/>
        <v>0</v>
      </c>
    </row>
    <row r="191" spans="1:15" customFormat="1">
      <c r="A191" s="54">
        <v>5</v>
      </c>
      <c r="B191" s="32" t="s">
        <v>191</v>
      </c>
      <c r="C191" s="9" t="s">
        <v>413</v>
      </c>
      <c r="D191" s="43"/>
      <c r="E191" s="44"/>
      <c r="F191" s="24">
        <f t="shared" si="16"/>
        <v>0</v>
      </c>
      <c r="G191" s="25">
        <f t="shared" si="17"/>
        <v>0</v>
      </c>
      <c r="H191" s="43"/>
      <c r="I191" s="44"/>
      <c r="J191" s="27">
        <f t="shared" si="18"/>
        <v>0</v>
      </c>
      <c r="K191" s="25">
        <f t="shared" si="19"/>
        <v>0</v>
      </c>
      <c r="L191" s="18">
        <f t="shared" si="20"/>
        <v>0</v>
      </c>
      <c r="M191" s="19">
        <f t="shared" si="21"/>
        <v>0</v>
      </c>
      <c r="N191" s="22">
        <f t="shared" si="22"/>
        <v>0</v>
      </c>
      <c r="O191" s="23">
        <f t="shared" si="23"/>
        <v>0</v>
      </c>
    </row>
    <row r="192" spans="1:15" customFormat="1">
      <c r="A192" s="54">
        <v>5</v>
      </c>
      <c r="B192" s="32" t="s">
        <v>192</v>
      </c>
      <c r="C192" s="9" t="s">
        <v>414</v>
      </c>
      <c r="D192" s="43">
        <v>3500</v>
      </c>
      <c r="E192" s="44"/>
      <c r="F192" s="24">
        <f t="shared" si="16"/>
        <v>3500</v>
      </c>
      <c r="G192" s="25">
        <f t="shared" si="17"/>
        <v>0</v>
      </c>
      <c r="H192" s="43"/>
      <c r="I192" s="44"/>
      <c r="J192" s="27">
        <f t="shared" si="18"/>
        <v>3500</v>
      </c>
      <c r="K192" s="25">
        <f t="shared" si="19"/>
        <v>0</v>
      </c>
      <c r="L192" s="18">
        <f t="shared" si="20"/>
        <v>0</v>
      </c>
      <c r="M192" s="19">
        <f t="shared" si="21"/>
        <v>0</v>
      </c>
      <c r="N192" s="22">
        <f t="shared" si="22"/>
        <v>3500</v>
      </c>
      <c r="O192" s="23">
        <f t="shared" si="23"/>
        <v>0</v>
      </c>
    </row>
    <row r="193" spans="1:15" customFormat="1">
      <c r="A193" s="54">
        <v>5</v>
      </c>
      <c r="B193" s="32" t="s">
        <v>193</v>
      </c>
      <c r="C193" s="9" t="s">
        <v>415</v>
      </c>
      <c r="D193" s="43"/>
      <c r="E193" s="44"/>
      <c r="F193" s="24">
        <f t="shared" si="16"/>
        <v>0</v>
      </c>
      <c r="G193" s="25">
        <f t="shared" si="17"/>
        <v>0</v>
      </c>
      <c r="H193" s="43"/>
      <c r="I193" s="44"/>
      <c r="J193" s="27">
        <f t="shared" si="18"/>
        <v>0</v>
      </c>
      <c r="K193" s="25">
        <f t="shared" si="19"/>
        <v>0</v>
      </c>
      <c r="L193" s="18">
        <f t="shared" si="20"/>
        <v>0</v>
      </c>
      <c r="M193" s="19">
        <f t="shared" si="21"/>
        <v>0</v>
      </c>
      <c r="N193" s="22">
        <f t="shared" si="22"/>
        <v>0</v>
      </c>
      <c r="O193" s="23">
        <f t="shared" si="23"/>
        <v>0</v>
      </c>
    </row>
    <row r="194" spans="1:15" customFormat="1">
      <c r="A194" s="54">
        <v>5</v>
      </c>
      <c r="B194" s="32" t="s">
        <v>194</v>
      </c>
      <c r="C194" s="9" t="s">
        <v>416</v>
      </c>
      <c r="D194" s="43">
        <v>350</v>
      </c>
      <c r="E194" s="44"/>
      <c r="F194" s="24">
        <f t="shared" si="16"/>
        <v>350</v>
      </c>
      <c r="G194" s="25">
        <f t="shared" si="17"/>
        <v>0</v>
      </c>
      <c r="H194" s="43"/>
      <c r="I194" s="44"/>
      <c r="J194" s="27">
        <f t="shared" si="18"/>
        <v>350</v>
      </c>
      <c r="K194" s="25">
        <f t="shared" si="19"/>
        <v>0</v>
      </c>
      <c r="L194" s="18">
        <f t="shared" si="20"/>
        <v>0</v>
      </c>
      <c r="M194" s="19">
        <f t="shared" si="21"/>
        <v>0</v>
      </c>
      <c r="N194" s="22">
        <f t="shared" si="22"/>
        <v>350</v>
      </c>
      <c r="O194" s="23">
        <f t="shared" si="23"/>
        <v>0</v>
      </c>
    </row>
    <row r="195" spans="1:15" customFormat="1">
      <c r="A195" s="54">
        <v>5</v>
      </c>
      <c r="B195" s="32" t="s">
        <v>195</v>
      </c>
      <c r="C195" s="9" t="s">
        <v>417</v>
      </c>
      <c r="D195" s="43"/>
      <c r="E195" s="44"/>
      <c r="F195" s="24">
        <f t="shared" si="16"/>
        <v>0</v>
      </c>
      <c r="G195" s="25">
        <f t="shared" si="17"/>
        <v>0</v>
      </c>
      <c r="H195" s="43"/>
      <c r="I195" s="44"/>
      <c r="J195" s="27">
        <f t="shared" si="18"/>
        <v>0</v>
      </c>
      <c r="K195" s="25">
        <f t="shared" si="19"/>
        <v>0</v>
      </c>
      <c r="L195" s="18">
        <f t="shared" si="20"/>
        <v>0</v>
      </c>
      <c r="M195" s="19">
        <f t="shared" si="21"/>
        <v>0</v>
      </c>
      <c r="N195" s="22">
        <f t="shared" si="22"/>
        <v>0</v>
      </c>
      <c r="O195" s="23">
        <f t="shared" si="23"/>
        <v>0</v>
      </c>
    </row>
    <row r="196" spans="1:15" customFormat="1">
      <c r="A196" s="54">
        <v>5</v>
      </c>
      <c r="B196" s="32" t="s">
        <v>196</v>
      </c>
      <c r="C196" s="9" t="s">
        <v>418</v>
      </c>
      <c r="D196" s="43"/>
      <c r="E196" s="44"/>
      <c r="F196" s="24">
        <f t="shared" si="16"/>
        <v>0</v>
      </c>
      <c r="G196" s="25">
        <f t="shared" si="17"/>
        <v>0</v>
      </c>
      <c r="H196" s="43"/>
      <c r="I196" s="44"/>
      <c r="J196" s="27">
        <f t="shared" si="18"/>
        <v>0</v>
      </c>
      <c r="K196" s="25">
        <f t="shared" si="19"/>
        <v>0</v>
      </c>
      <c r="L196" s="18">
        <f t="shared" si="20"/>
        <v>0</v>
      </c>
      <c r="M196" s="19">
        <f t="shared" si="21"/>
        <v>0</v>
      </c>
      <c r="N196" s="22">
        <f t="shared" si="22"/>
        <v>0</v>
      </c>
      <c r="O196" s="23">
        <f t="shared" si="23"/>
        <v>0</v>
      </c>
    </row>
    <row r="197" spans="1:15" customFormat="1">
      <c r="A197" s="54">
        <v>5</v>
      </c>
      <c r="B197" s="32" t="s">
        <v>197</v>
      </c>
      <c r="C197" s="9" t="s">
        <v>419</v>
      </c>
      <c r="D197" s="43">
        <v>8077.18</v>
      </c>
      <c r="E197" s="44"/>
      <c r="F197" s="24">
        <f t="shared" si="16"/>
        <v>8077.18</v>
      </c>
      <c r="G197" s="25">
        <f t="shared" si="17"/>
        <v>0</v>
      </c>
      <c r="H197" s="43"/>
      <c r="I197" s="44"/>
      <c r="J197" s="27">
        <f t="shared" si="18"/>
        <v>8077.18</v>
      </c>
      <c r="K197" s="25">
        <f t="shared" si="19"/>
        <v>0</v>
      </c>
      <c r="L197" s="18">
        <f t="shared" si="20"/>
        <v>0</v>
      </c>
      <c r="M197" s="19">
        <f t="shared" si="21"/>
        <v>0</v>
      </c>
      <c r="N197" s="22">
        <f t="shared" si="22"/>
        <v>8077.18</v>
      </c>
      <c r="O197" s="23">
        <f t="shared" si="23"/>
        <v>0</v>
      </c>
    </row>
    <row r="198" spans="1:15" customFormat="1">
      <c r="A198" s="54">
        <v>5</v>
      </c>
      <c r="B198" s="32" t="s">
        <v>198</v>
      </c>
      <c r="C198" s="9" t="s">
        <v>420</v>
      </c>
      <c r="D198" s="43">
        <v>29146.75</v>
      </c>
      <c r="E198" s="44"/>
      <c r="F198" s="24">
        <f t="shared" si="16"/>
        <v>29146.75</v>
      </c>
      <c r="G198" s="25">
        <f t="shared" si="17"/>
        <v>0</v>
      </c>
      <c r="H198" s="43"/>
      <c r="I198" s="44"/>
      <c r="J198" s="27">
        <f t="shared" si="18"/>
        <v>29146.75</v>
      </c>
      <c r="K198" s="25">
        <f t="shared" si="19"/>
        <v>0</v>
      </c>
      <c r="L198" s="18">
        <f t="shared" si="20"/>
        <v>0</v>
      </c>
      <c r="M198" s="19">
        <f t="shared" si="21"/>
        <v>0</v>
      </c>
      <c r="N198" s="22">
        <f t="shared" si="22"/>
        <v>29146.75</v>
      </c>
      <c r="O198" s="23">
        <f t="shared" si="23"/>
        <v>0</v>
      </c>
    </row>
    <row r="199" spans="1:15" customFormat="1">
      <c r="A199" s="54">
        <v>5</v>
      </c>
      <c r="B199" s="32" t="s">
        <v>199</v>
      </c>
      <c r="C199" s="9" t="s">
        <v>421</v>
      </c>
      <c r="D199" s="43">
        <v>91246.15</v>
      </c>
      <c r="E199" s="44"/>
      <c r="F199" s="24">
        <f t="shared" si="16"/>
        <v>91246.15</v>
      </c>
      <c r="G199" s="25">
        <f t="shared" si="17"/>
        <v>0</v>
      </c>
      <c r="H199" s="43"/>
      <c r="I199" s="44"/>
      <c r="J199" s="27">
        <f t="shared" si="18"/>
        <v>91246.15</v>
      </c>
      <c r="K199" s="25">
        <f t="shared" si="19"/>
        <v>0</v>
      </c>
      <c r="L199" s="18">
        <f t="shared" si="20"/>
        <v>0</v>
      </c>
      <c r="M199" s="19">
        <f t="shared" si="21"/>
        <v>0</v>
      </c>
      <c r="N199" s="22">
        <f t="shared" si="22"/>
        <v>91246.15</v>
      </c>
      <c r="O199" s="23">
        <f t="shared" si="23"/>
        <v>0</v>
      </c>
    </row>
    <row r="200" spans="1:15" customFormat="1">
      <c r="A200" s="54">
        <v>5</v>
      </c>
      <c r="B200" s="32" t="s">
        <v>200</v>
      </c>
      <c r="C200" s="9" t="s">
        <v>422</v>
      </c>
      <c r="D200" s="43"/>
      <c r="E200" s="44"/>
      <c r="F200" s="24">
        <f t="shared" si="16"/>
        <v>0</v>
      </c>
      <c r="G200" s="25">
        <f t="shared" si="17"/>
        <v>0</v>
      </c>
      <c r="H200" s="43"/>
      <c r="I200" s="44"/>
      <c r="J200" s="27">
        <f t="shared" si="18"/>
        <v>0</v>
      </c>
      <c r="K200" s="25">
        <f t="shared" si="19"/>
        <v>0</v>
      </c>
      <c r="L200" s="18">
        <f t="shared" si="20"/>
        <v>0</v>
      </c>
      <c r="M200" s="19">
        <f t="shared" si="21"/>
        <v>0</v>
      </c>
      <c r="N200" s="22">
        <f t="shared" si="22"/>
        <v>0</v>
      </c>
      <c r="O200" s="23">
        <f t="shared" si="23"/>
        <v>0</v>
      </c>
    </row>
    <row r="201" spans="1:15" customFormat="1">
      <c r="A201" s="54">
        <v>5</v>
      </c>
      <c r="B201" s="32" t="s">
        <v>201</v>
      </c>
      <c r="C201" s="9" t="s">
        <v>423</v>
      </c>
      <c r="D201" s="43"/>
      <c r="E201" s="44"/>
      <c r="F201" s="24">
        <f t="shared" si="16"/>
        <v>0</v>
      </c>
      <c r="G201" s="25">
        <f t="shared" si="17"/>
        <v>0</v>
      </c>
      <c r="H201" s="43"/>
      <c r="I201" s="44"/>
      <c r="J201" s="27">
        <f t="shared" si="18"/>
        <v>0</v>
      </c>
      <c r="K201" s="25">
        <f t="shared" si="19"/>
        <v>0</v>
      </c>
      <c r="L201" s="18">
        <f t="shared" si="20"/>
        <v>0</v>
      </c>
      <c r="M201" s="19">
        <f t="shared" si="21"/>
        <v>0</v>
      </c>
      <c r="N201" s="22">
        <f t="shared" si="22"/>
        <v>0</v>
      </c>
      <c r="O201" s="23">
        <f t="shared" si="23"/>
        <v>0</v>
      </c>
    </row>
    <row r="202" spans="1:15" customFormat="1">
      <c r="A202" s="54">
        <v>5</v>
      </c>
      <c r="B202" s="32" t="s">
        <v>202</v>
      </c>
      <c r="C202" s="9" t="s">
        <v>424</v>
      </c>
      <c r="D202" s="43">
        <v>59168</v>
      </c>
      <c r="E202" s="44"/>
      <c r="F202" s="24">
        <f t="shared" ref="F202:F231" si="24">IF(OR((LEFT(A202,1)="1"),(LEFT(A202,1)="5")),D202*1,D202*-1)</f>
        <v>59168</v>
      </c>
      <c r="G202" s="25">
        <f t="shared" ref="G202:G231" si="25">IF(OR((LEFT(A202,1)="2"),(LEFT(A202,1)="3"),(LEFT(A202,1)="4"),(LEFT(A202,1)="6")),E202*1,E202*-1)</f>
        <v>0</v>
      </c>
      <c r="H202" s="43"/>
      <c r="I202" s="44"/>
      <c r="J202" s="27">
        <f t="shared" ref="J202:J231" si="26">IF(OR((LEFT(A202,1)="1"),(LEFT(A202,1)="5")),F202+H202-I202,0)</f>
        <v>59168</v>
      </c>
      <c r="K202" s="25">
        <f t="shared" ref="K202:K231" si="27">IF(OR((LEFT(A202,1)="2"),(LEFT(A202,1)="3"),(LEFT(A202,1)="4"),(LEFT(A202,1)="6")),G202+I202-H202,0)</f>
        <v>0</v>
      </c>
      <c r="L202" s="18">
        <f t="shared" ref="L202:L231" si="28">IF(OR((LEFT(A202,1)="1"),(LEFT(A202,1)="2"),(LEFT(A202,1)="3"),(LEFT(A202,1)="6")),J202,0)</f>
        <v>0</v>
      </c>
      <c r="M202" s="19">
        <f t="shared" ref="M202:M231" si="29">IF(OR((LEFT(A202,1)="1"),(LEFT(A202,1)="2"),(LEFT(A202,1)="3"),(LEFT(A202,1)="6")),K202,0)</f>
        <v>0</v>
      </c>
      <c r="N202" s="22">
        <f t="shared" ref="N202:N231" si="30">IF(OR((LEFT(A202,1)="4"),(LEFT(A202,1)="5")),J202,0)</f>
        <v>59168</v>
      </c>
      <c r="O202" s="23">
        <f t="shared" ref="O202:O231" si="31">IF(OR((LEFT(A202,1)="4"),(LEFT(A202,1)="5")),K202,0)</f>
        <v>0</v>
      </c>
    </row>
    <row r="203" spans="1:15" customFormat="1">
      <c r="A203" s="54">
        <v>5</v>
      </c>
      <c r="B203" s="32" t="s">
        <v>203</v>
      </c>
      <c r="C203" s="9" t="s">
        <v>425</v>
      </c>
      <c r="D203" s="43">
        <v>64982.85</v>
      </c>
      <c r="E203" s="44"/>
      <c r="F203" s="24">
        <f t="shared" si="24"/>
        <v>64982.85</v>
      </c>
      <c r="G203" s="25">
        <f t="shared" si="25"/>
        <v>0</v>
      </c>
      <c r="H203" s="43"/>
      <c r="I203" s="44"/>
      <c r="J203" s="27">
        <f t="shared" si="26"/>
        <v>64982.85</v>
      </c>
      <c r="K203" s="25">
        <f t="shared" si="27"/>
        <v>0</v>
      </c>
      <c r="L203" s="18">
        <f t="shared" si="28"/>
        <v>0</v>
      </c>
      <c r="M203" s="19">
        <f t="shared" si="29"/>
        <v>0</v>
      </c>
      <c r="N203" s="22">
        <f t="shared" si="30"/>
        <v>64982.85</v>
      </c>
      <c r="O203" s="23">
        <f t="shared" si="31"/>
        <v>0</v>
      </c>
    </row>
    <row r="204" spans="1:15" customFormat="1">
      <c r="A204" s="54">
        <v>5</v>
      </c>
      <c r="B204" s="32" t="s">
        <v>204</v>
      </c>
      <c r="C204" s="9" t="s">
        <v>426</v>
      </c>
      <c r="D204" s="43">
        <v>57477.520000000004</v>
      </c>
      <c r="E204" s="44"/>
      <c r="F204" s="24">
        <f t="shared" si="24"/>
        <v>57477.520000000004</v>
      </c>
      <c r="G204" s="25">
        <f t="shared" si="25"/>
        <v>0</v>
      </c>
      <c r="H204" s="43"/>
      <c r="I204" s="44"/>
      <c r="J204" s="27">
        <f t="shared" si="26"/>
        <v>57477.520000000004</v>
      </c>
      <c r="K204" s="25">
        <f t="shared" si="27"/>
        <v>0</v>
      </c>
      <c r="L204" s="18">
        <f t="shared" si="28"/>
        <v>0</v>
      </c>
      <c r="M204" s="19">
        <f t="shared" si="29"/>
        <v>0</v>
      </c>
      <c r="N204" s="22">
        <f t="shared" si="30"/>
        <v>57477.520000000004</v>
      </c>
      <c r="O204" s="23">
        <f t="shared" si="31"/>
        <v>0</v>
      </c>
    </row>
    <row r="205" spans="1:15" customFormat="1">
      <c r="A205" s="54">
        <v>5</v>
      </c>
      <c r="B205" s="32" t="s">
        <v>205</v>
      </c>
      <c r="C205" s="9" t="s">
        <v>427</v>
      </c>
      <c r="D205" s="43"/>
      <c r="E205" s="44"/>
      <c r="F205" s="24">
        <f t="shared" si="24"/>
        <v>0</v>
      </c>
      <c r="G205" s="25">
        <f t="shared" si="25"/>
        <v>0</v>
      </c>
      <c r="H205" s="43"/>
      <c r="I205" s="44"/>
      <c r="J205" s="27">
        <f t="shared" si="26"/>
        <v>0</v>
      </c>
      <c r="K205" s="25">
        <f t="shared" si="27"/>
        <v>0</v>
      </c>
      <c r="L205" s="18">
        <f t="shared" si="28"/>
        <v>0</v>
      </c>
      <c r="M205" s="19">
        <f t="shared" si="29"/>
        <v>0</v>
      </c>
      <c r="N205" s="22">
        <f t="shared" si="30"/>
        <v>0</v>
      </c>
      <c r="O205" s="23">
        <f t="shared" si="31"/>
        <v>0</v>
      </c>
    </row>
    <row r="206" spans="1:15" customFormat="1">
      <c r="A206" s="54">
        <v>5</v>
      </c>
      <c r="B206" s="32" t="s">
        <v>206</v>
      </c>
      <c r="C206" s="9" t="s">
        <v>428</v>
      </c>
      <c r="D206" s="43"/>
      <c r="E206" s="44"/>
      <c r="F206" s="24">
        <f t="shared" si="24"/>
        <v>0</v>
      </c>
      <c r="G206" s="25">
        <f t="shared" si="25"/>
        <v>0</v>
      </c>
      <c r="H206" s="43"/>
      <c r="I206" s="44"/>
      <c r="J206" s="27">
        <f t="shared" si="26"/>
        <v>0</v>
      </c>
      <c r="K206" s="25">
        <f t="shared" si="27"/>
        <v>0</v>
      </c>
      <c r="L206" s="18">
        <f t="shared" si="28"/>
        <v>0</v>
      </c>
      <c r="M206" s="19">
        <f t="shared" si="29"/>
        <v>0</v>
      </c>
      <c r="N206" s="22">
        <f t="shared" si="30"/>
        <v>0</v>
      </c>
      <c r="O206" s="23">
        <f t="shared" si="31"/>
        <v>0</v>
      </c>
    </row>
    <row r="207" spans="1:15" customFormat="1">
      <c r="A207" s="54">
        <v>5</v>
      </c>
      <c r="B207" s="32" t="s">
        <v>207</v>
      </c>
      <c r="C207" s="9" t="s">
        <v>429</v>
      </c>
      <c r="D207" s="43">
        <v>10400</v>
      </c>
      <c r="E207" s="44"/>
      <c r="F207" s="24">
        <f t="shared" si="24"/>
        <v>10400</v>
      </c>
      <c r="G207" s="25">
        <f t="shared" si="25"/>
        <v>0</v>
      </c>
      <c r="H207" s="43"/>
      <c r="I207" s="44"/>
      <c r="J207" s="27">
        <f t="shared" si="26"/>
        <v>10400</v>
      </c>
      <c r="K207" s="25">
        <f t="shared" si="27"/>
        <v>0</v>
      </c>
      <c r="L207" s="18">
        <f t="shared" si="28"/>
        <v>0</v>
      </c>
      <c r="M207" s="19">
        <f t="shared" si="29"/>
        <v>0</v>
      </c>
      <c r="N207" s="22">
        <f t="shared" si="30"/>
        <v>10400</v>
      </c>
      <c r="O207" s="23">
        <f t="shared" si="31"/>
        <v>0</v>
      </c>
    </row>
    <row r="208" spans="1:15" customFormat="1">
      <c r="A208" s="54">
        <v>5</v>
      </c>
      <c r="B208" s="32" t="s">
        <v>208</v>
      </c>
      <c r="C208" s="9" t="s">
        <v>430</v>
      </c>
      <c r="D208" s="43"/>
      <c r="E208" s="44"/>
      <c r="F208" s="24">
        <f t="shared" si="24"/>
        <v>0</v>
      </c>
      <c r="G208" s="25">
        <f t="shared" si="25"/>
        <v>0</v>
      </c>
      <c r="H208" s="43"/>
      <c r="I208" s="44"/>
      <c r="J208" s="27">
        <f t="shared" si="26"/>
        <v>0</v>
      </c>
      <c r="K208" s="25">
        <f t="shared" si="27"/>
        <v>0</v>
      </c>
      <c r="L208" s="18">
        <f t="shared" si="28"/>
        <v>0</v>
      </c>
      <c r="M208" s="19">
        <f t="shared" si="29"/>
        <v>0</v>
      </c>
      <c r="N208" s="22">
        <f t="shared" si="30"/>
        <v>0</v>
      </c>
      <c r="O208" s="23">
        <f t="shared" si="31"/>
        <v>0</v>
      </c>
    </row>
    <row r="209" spans="1:15" customFormat="1">
      <c r="A209" s="54">
        <v>5</v>
      </c>
      <c r="B209" s="32" t="s">
        <v>209</v>
      </c>
      <c r="C209" s="9" t="s">
        <v>431</v>
      </c>
      <c r="D209" s="43">
        <v>3245</v>
      </c>
      <c r="E209" s="44"/>
      <c r="F209" s="24">
        <f t="shared" si="24"/>
        <v>3245</v>
      </c>
      <c r="G209" s="25">
        <f t="shared" si="25"/>
        <v>0</v>
      </c>
      <c r="H209" s="43"/>
      <c r="I209" s="44"/>
      <c r="J209" s="27">
        <f t="shared" si="26"/>
        <v>3245</v>
      </c>
      <c r="K209" s="25">
        <f t="shared" si="27"/>
        <v>0</v>
      </c>
      <c r="L209" s="18">
        <f t="shared" si="28"/>
        <v>0</v>
      </c>
      <c r="M209" s="19">
        <f t="shared" si="29"/>
        <v>0</v>
      </c>
      <c r="N209" s="22">
        <f t="shared" si="30"/>
        <v>3245</v>
      </c>
      <c r="O209" s="23">
        <f t="shared" si="31"/>
        <v>0</v>
      </c>
    </row>
    <row r="210" spans="1:15" customFormat="1">
      <c r="A210" s="54">
        <v>5</v>
      </c>
      <c r="B210" s="32" t="s">
        <v>210</v>
      </c>
      <c r="C210" s="9" t="s">
        <v>432</v>
      </c>
      <c r="D210" s="43"/>
      <c r="E210" s="44"/>
      <c r="F210" s="24">
        <f t="shared" si="24"/>
        <v>0</v>
      </c>
      <c r="G210" s="25">
        <f t="shared" si="25"/>
        <v>0</v>
      </c>
      <c r="H210" s="43"/>
      <c r="I210" s="44"/>
      <c r="J210" s="27">
        <f t="shared" si="26"/>
        <v>0</v>
      </c>
      <c r="K210" s="25">
        <f t="shared" si="27"/>
        <v>0</v>
      </c>
      <c r="L210" s="18">
        <f t="shared" si="28"/>
        <v>0</v>
      </c>
      <c r="M210" s="19">
        <f t="shared" si="29"/>
        <v>0</v>
      </c>
      <c r="N210" s="22">
        <f t="shared" si="30"/>
        <v>0</v>
      </c>
      <c r="O210" s="23">
        <f t="shared" si="31"/>
        <v>0</v>
      </c>
    </row>
    <row r="211" spans="1:15" customFormat="1">
      <c r="A211" s="54">
        <v>5</v>
      </c>
      <c r="B211" s="32" t="s">
        <v>211</v>
      </c>
      <c r="C211" s="9" t="s">
        <v>433</v>
      </c>
      <c r="D211" s="43"/>
      <c r="E211" s="44"/>
      <c r="F211" s="24">
        <f t="shared" si="24"/>
        <v>0</v>
      </c>
      <c r="G211" s="25">
        <f t="shared" si="25"/>
        <v>0</v>
      </c>
      <c r="H211" s="43"/>
      <c r="I211" s="44"/>
      <c r="J211" s="27">
        <f t="shared" si="26"/>
        <v>0</v>
      </c>
      <c r="K211" s="25">
        <f t="shared" si="27"/>
        <v>0</v>
      </c>
      <c r="L211" s="18">
        <f t="shared" si="28"/>
        <v>0</v>
      </c>
      <c r="M211" s="19">
        <f t="shared" si="29"/>
        <v>0</v>
      </c>
      <c r="N211" s="22">
        <f t="shared" si="30"/>
        <v>0</v>
      </c>
      <c r="O211" s="23">
        <f t="shared" si="31"/>
        <v>0</v>
      </c>
    </row>
    <row r="212" spans="1:15" customFormat="1">
      <c r="A212" s="54">
        <v>5</v>
      </c>
      <c r="B212" s="32" t="s">
        <v>212</v>
      </c>
      <c r="C212" s="9" t="s">
        <v>434</v>
      </c>
      <c r="D212" s="43">
        <v>2362.5</v>
      </c>
      <c r="E212" s="44"/>
      <c r="F212" s="24">
        <f t="shared" si="24"/>
        <v>2362.5</v>
      </c>
      <c r="G212" s="25">
        <f t="shared" si="25"/>
        <v>0</v>
      </c>
      <c r="H212" s="43"/>
      <c r="I212" s="44"/>
      <c r="J212" s="27">
        <f t="shared" si="26"/>
        <v>2362.5</v>
      </c>
      <c r="K212" s="25">
        <f t="shared" si="27"/>
        <v>0</v>
      </c>
      <c r="L212" s="18">
        <f t="shared" si="28"/>
        <v>0</v>
      </c>
      <c r="M212" s="19">
        <f t="shared" si="29"/>
        <v>0</v>
      </c>
      <c r="N212" s="22">
        <f t="shared" si="30"/>
        <v>2362.5</v>
      </c>
      <c r="O212" s="23">
        <f t="shared" si="31"/>
        <v>0</v>
      </c>
    </row>
    <row r="213" spans="1:15" customFormat="1">
      <c r="A213" s="54">
        <v>5</v>
      </c>
      <c r="B213" s="32" t="s">
        <v>213</v>
      </c>
      <c r="C213" s="9" t="s">
        <v>435</v>
      </c>
      <c r="D213" s="43"/>
      <c r="E213" s="44"/>
      <c r="F213" s="24">
        <f t="shared" si="24"/>
        <v>0</v>
      </c>
      <c r="G213" s="25">
        <f t="shared" si="25"/>
        <v>0</v>
      </c>
      <c r="H213" s="43"/>
      <c r="I213" s="44"/>
      <c r="J213" s="27">
        <f t="shared" si="26"/>
        <v>0</v>
      </c>
      <c r="K213" s="25">
        <f t="shared" si="27"/>
        <v>0</v>
      </c>
      <c r="L213" s="18">
        <f t="shared" si="28"/>
        <v>0</v>
      </c>
      <c r="M213" s="19">
        <f t="shared" si="29"/>
        <v>0</v>
      </c>
      <c r="N213" s="22">
        <f t="shared" si="30"/>
        <v>0</v>
      </c>
      <c r="O213" s="23">
        <f t="shared" si="31"/>
        <v>0</v>
      </c>
    </row>
    <row r="214" spans="1:15" customFormat="1">
      <c r="A214" s="54">
        <v>5</v>
      </c>
      <c r="B214" s="32" t="s">
        <v>214</v>
      </c>
      <c r="C214" s="9" t="s">
        <v>436</v>
      </c>
      <c r="D214" s="43">
        <v>243748.99</v>
      </c>
      <c r="E214" s="44"/>
      <c r="F214" s="24">
        <f t="shared" si="24"/>
        <v>243748.99</v>
      </c>
      <c r="G214" s="25">
        <f t="shared" si="25"/>
        <v>0</v>
      </c>
      <c r="H214" s="43"/>
      <c r="I214" s="44"/>
      <c r="J214" s="27">
        <f t="shared" si="26"/>
        <v>243748.99</v>
      </c>
      <c r="K214" s="25">
        <f t="shared" si="27"/>
        <v>0</v>
      </c>
      <c r="L214" s="18">
        <f t="shared" si="28"/>
        <v>0</v>
      </c>
      <c r="M214" s="19">
        <f t="shared" si="29"/>
        <v>0</v>
      </c>
      <c r="N214" s="22">
        <f t="shared" si="30"/>
        <v>243748.99</v>
      </c>
      <c r="O214" s="23">
        <f t="shared" si="31"/>
        <v>0</v>
      </c>
    </row>
    <row r="215" spans="1:15" customFormat="1">
      <c r="A215" s="54">
        <v>5</v>
      </c>
      <c r="B215" s="32" t="s">
        <v>215</v>
      </c>
      <c r="C215" s="9" t="s">
        <v>437</v>
      </c>
      <c r="D215" s="43">
        <v>1526901.8399999999</v>
      </c>
      <c r="E215" s="44"/>
      <c r="F215" s="24">
        <f t="shared" si="24"/>
        <v>1526901.8399999999</v>
      </c>
      <c r="G215" s="25">
        <f t="shared" si="25"/>
        <v>0</v>
      </c>
      <c r="H215" s="43"/>
      <c r="I215" s="44"/>
      <c r="J215" s="27">
        <f t="shared" si="26"/>
        <v>1526901.8399999999</v>
      </c>
      <c r="K215" s="25">
        <f t="shared" si="27"/>
        <v>0</v>
      </c>
      <c r="L215" s="18">
        <f t="shared" si="28"/>
        <v>0</v>
      </c>
      <c r="M215" s="19">
        <f t="shared" si="29"/>
        <v>0</v>
      </c>
      <c r="N215" s="22">
        <f t="shared" si="30"/>
        <v>1526901.8399999999</v>
      </c>
      <c r="O215" s="23">
        <f t="shared" si="31"/>
        <v>0</v>
      </c>
    </row>
    <row r="216" spans="1:15" customFormat="1">
      <c r="A216" s="54">
        <v>5</v>
      </c>
      <c r="B216" s="32" t="s">
        <v>216</v>
      </c>
      <c r="C216" s="9" t="s">
        <v>438</v>
      </c>
      <c r="D216" s="43"/>
      <c r="E216" s="44"/>
      <c r="F216" s="24">
        <f t="shared" si="24"/>
        <v>0</v>
      </c>
      <c r="G216" s="25">
        <f t="shared" si="25"/>
        <v>0</v>
      </c>
      <c r="H216" s="43"/>
      <c r="I216" s="44"/>
      <c r="J216" s="27">
        <f t="shared" si="26"/>
        <v>0</v>
      </c>
      <c r="K216" s="25">
        <f t="shared" si="27"/>
        <v>0</v>
      </c>
      <c r="L216" s="18">
        <f t="shared" si="28"/>
        <v>0</v>
      </c>
      <c r="M216" s="19">
        <f t="shared" si="29"/>
        <v>0</v>
      </c>
      <c r="N216" s="22">
        <f t="shared" si="30"/>
        <v>0</v>
      </c>
      <c r="O216" s="23">
        <f t="shared" si="31"/>
        <v>0</v>
      </c>
    </row>
    <row r="217" spans="1:15" customFormat="1">
      <c r="A217" s="54">
        <v>5</v>
      </c>
      <c r="B217" s="32" t="s">
        <v>217</v>
      </c>
      <c r="C217" s="9" t="s">
        <v>439</v>
      </c>
      <c r="D217" s="43"/>
      <c r="E217" s="44"/>
      <c r="F217" s="24">
        <f t="shared" si="24"/>
        <v>0</v>
      </c>
      <c r="G217" s="25">
        <f t="shared" si="25"/>
        <v>0</v>
      </c>
      <c r="H217" s="43"/>
      <c r="I217" s="44"/>
      <c r="J217" s="27">
        <f t="shared" si="26"/>
        <v>0</v>
      </c>
      <c r="K217" s="25">
        <f t="shared" si="27"/>
        <v>0</v>
      </c>
      <c r="L217" s="18">
        <f t="shared" si="28"/>
        <v>0</v>
      </c>
      <c r="M217" s="19">
        <f t="shared" si="29"/>
        <v>0</v>
      </c>
      <c r="N217" s="22">
        <f t="shared" si="30"/>
        <v>0</v>
      </c>
      <c r="O217" s="23">
        <f t="shared" si="31"/>
        <v>0</v>
      </c>
    </row>
    <row r="218" spans="1:15" customFormat="1">
      <c r="A218" s="54">
        <v>5</v>
      </c>
      <c r="B218" s="32" t="s">
        <v>218</v>
      </c>
      <c r="C218" s="9" t="s">
        <v>440</v>
      </c>
      <c r="D218" s="43"/>
      <c r="E218" s="44"/>
      <c r="F218" s="24">
        <f t="shared" si="24"/>
        <v>0</v>
      </c>
      <c r="G218" s="25">
        <f t="shared" si="25"/>
        <v>0</v>
      </c>
      <c r="H218" s="43"/>
      <c r="I218" s="44"/>
      <c r="J218" s="27">
        <f t="shared" si="26"/>
        <v>0</v>
      </c>
      <c r="K218" s="25">
        <f t="shared" si="27"/>
        <v>0</v>
      </c>
      <c r="L218" s="18">
        <f t="shared" si="28"/>
        <v>0</v>
      </c>
      <c r="M218" s="19">
        <f t="shared" si="29"/>
        <v>0</v>
      </c>
      <c r="N218" s="22">
        <f t="shared" si="30"/>
        <v>0</v>
      </c>
      <c r="O218" s="23">
        <f t="shared" si="31"/>
        <v>0</v>
      </c>
    </row>
    <row r="219" spans="1:15" customFormat="1">
      <c r="A219" s="54">
        <v>5</v>
      </c>
      <c r="B219" s="32" t="s">
        <v>219</v>
      </c>
      <c r="C219" s="9" t="s">
        <v>441</v>
      </c>
      <c r="D219" s="43"/>
      <c r="E219" s="44"/>
      <c r="F219" s="24">
        <f t="shared" si="24"/>
        <v>0</v>
      </c>
      <c r="G219" s="25">
        <f t="shared" si="25"/>
        <v>0</v>
      </c>
      <c r="H219" s="43"/>
      <c r="I219" s="44"/>
      <c r="J219" s="27">
        <f t="shared" si="26"/>
        <v>0</v>
      </c>
      <c r="K219" s="25">
        <f t="shared" si="27"/>
        <v>0</v>
      </c>
      <c r="L219" s="18">
        <f t="shared" si="28"/>
        <v>0</v>
      </c>
      <c r="M219" s="19">
        <f t="shared" si="29"/>
        <v>0</v>
      </c>
      <c r="N219" s="22">
        <f t="shared" si="30"/>
        <v>0</v>
      </c>
      <c r="O219" s="23">
        <f t="shared" si="31"/>
        <v>0</v>
      </c>
    </row>
    <row r="220" spans="1:15" customFormat="1">
      <c r="A220" s="54">
        <v>5</v>
      </c>
      <c r="B220" s="32" t="s">
        <v>220</v>
      </c>
      <c r="C220" s="9" t="s">
        <v>442</v>
      </c>
      <c r="D220" s="43"/>
      <c r="E220" s="44"/>
      <c r="F220" s="24">
        <f t="shared" si="24"/>
        <v>0</v>
      </c>
      <c r="G220" s="25">
        <f t="shared" si="25"/>
        <v>0</v>
      </c>
      <c r="H220" s="43"/>
      <c r="I220" s="44"/>
      <c r="J220" s="27">
        <f t="shared" si="26"/>
        <v>0</v>
      </c>
      <c r="K220" s="25">
        <f t="shared" si="27"/>
        <v>0</v>
      </c>
      <c r="L220" s="18">
        <f t="shared" si="28"/>
        <v>0</v>
      </c>
      <c r="M220" s="19">
        <f t="shared" si="29"/>
        <v>0</v>
      </c>
      <c r="N220" s="22">
        <f t="shared" si="30"/>
        <v>0</v>
      </c>
      <c r="O220" s="23">
        <f t="shared" si="31"/>
        <v>0</v>
      </c>
    </row>
    <row r="221" spans="1:15" customFormat="1">
      <c r="A221" s="54">
        <v>5</v>
      </c>
      <c r="B221" s="32" t="s">
        <v>221</v>
      </c>
      <c r="C221" s="9" t="s">
        <v>443</v>
      </c>
      <c r="D221" s="43"/>
      <c r="E221" s="44"/>
      <c r="F221" s="24">
        <f t="shared" si="24"/>
        <v>0</v>
      </c>
      <c r="G221" s="25">
        <f t="shared" si="25"/>
        <v>0</v>
      </c>
      <c r="H221" s="43"/>
      <c r="I221" s="44"/>
      <c r="J221" s="27">
        <f t="shared" si="26"/>
        <v>0</v>
      </c>
      <c r="K221" s="25">
        <f t="shared" si="27"/>
        <v>0</v>
      </c>
      <c r="L221" s="18">
        <f t="shared" si="28"/>
        <v>0</v>
      </c>
      <c r="M221" s="19">
        <f t="shared" si="29"/>
        <v>0</v>
      </c>
      <c r="N221" s="22">
        <f t="shared" si="30"/>
        <v>0</v>
      </c>
      <c r="O221" s="23">
        <f t="shared" si="31"/>
        <v>0</v>
      </c>
    </row>
    <row r="222" spans="1:15" customFormat="1">
      <c r="A222" s="54">
        <v>5</v>
      </c>
      <c r="B222" s="32" t="s">
        <v>222</v>
      </c>
      <c r="C222" s="9" t="s">
        <v>444</v>
      </c>
      <c r="D222" s="43"/>
      <c r="E222" s="44"/>
      <c r="F222" s="24">
        <f t="shared" si="24"/>
        <v>0</v>
      </c>
      <c r="G222" s="25">
        <f t="shared" si="25"/>
        <v>0</v>
      </c>
      <c r="H222" s="43"/>
      <c r="I222" s="44"/>
      <c r="J222" s="27">
        <f t="shared" si="26"/>
        <v>0</v>
      </c>
      <c r="K222" s="25">
        <f t="shared" si="27"/>
        <v>0</v>
      </c>
      <c r="L222" s="18">
        <f t="shared" si="28"/>
        <v>0</v>
      </c>
      <c r="M222" s="19">
        <f t="shared" si="29"/>
        <v>0</v>
      </c>
      <c r="N222" s="22">
        <f t="shared" si="30"/>
        <v>0</v>
      </c>
      <c r="O222" s="23">
        <f t="shared" si="31"/>
        <v>0</v>
      </c>
    </row>
    <row r="223" spans="1:15" customFormat="1">
      <c r="A223" s="54">
        <v>5</v>
      </c>
      <c r="B223" s="32" t="s">
        <v>223</v>
      </c>
      <c r="C223" s="9" t="s">
        <v>445</v>
      </c>
      <c r="D223" s="43"/>
      <c r="E223" s="44"/>
      <c r="F223" s="24">
        <f t="shared" si="24"/>
        <v>0</v>
      </c>
      <c r="G223" s="25">
        <f t="shared" si="25"/>
        <v>0</v>
      </c>
      <c r="H223" s="43"/>
      <c r="I223" s="44"/>
      <c r="J223" s="27">
        <f t="shared" si="26"/>
        <v>0</v>
      </c>
      <c r="K223" s="25">
        <f t="shared" si="27"/>
        <v>0</v>
      </c>
      <c r="L223" s="18">
        <f t="shared" si="28"/>
        <v>0</v>
      </c>
      <c r="M223" s="19">
        <f t="shared" si="29"/>
        <v>0</v>
      </c>
      <c r="N223" s="22">
        <f t="shared" si="30"/>
        <v>0</v>
      </c>
      <c r="O223" s="23">
        <f t="shared" si="31"/>
        <v>0</v>
      </c>
    </row>
    <row r="224" spans="1:15" customFormat="1">
      <c r="A224" s="54">
        <v>5</v>
      </c>
      <c r="B224" s="32" t="s">
        <v>224</v>
      </c>
      <c r="C224" s="9" t="s">
        <v>446</v>
      </c>
      <c r="D224" s="43"/>
      <c r="E224" s="44"/>
      <c r="F224" s="24">
        <f t="shared" si="24"/>
        <v>0</v>
      </c>
      <c r="G224" s="25">
        <f t="shared" si="25"/>
        <v>0</v>
      </c>
      <c r="H224" s="43"/>
      <c r="I224" s="44"/>
      <c r="J224" s="27">
        <f t="shared" si="26"/>
        <v>0</v>
      </c>
      <c r="K224" s="25">
        <f t="shared" si="27"/>
        <v>0</v>
      </c>
      <c r="L224" s="18">
        <f t="shared" si="28"/>
        <v>0</v>
      </c>
      <c r="M224" s="19">
        <f t="shared" si="29"/>
        <v>0</v>
      </c>
      <c r="N224" s="22">
        <f t="shared" si="30"/>
        <v>0</v>
      </c>
      <c r="O224" s="23">
        <f t="shared" si="31"/>
        <v>0</v>
      </c>
    </row>
    <row r="225" spans="1:15" customFormat="1">
      <c r="A225" s="54">
        <v>5</v>
      </c>
      <c r="B225" s="32" t="s">
        <v>225</v>
      </c>
      <c r="C225" s="9" t="s">
        <v>447</v>
      </c>
      <c r="D225" s="43">
        <v>444792.86000000004</v>
      </c>
      <c r="E225" s="44"/>
      <c r="F225" s="24">
        <f t="shared" si="24"/>
        <v>444792.86000000004</v>
      </c>
      <c r="G225" s="25">
        <f t="shared" si="25"/>
        <v>0</v>
      </c>
      <c r="H225" s="43"/>
      <c r="I225" s="44"/>
      <c r="J225" s="27">
        <f t="shared" si="26"/>
        <v>444792.86000000004</v>
      </c>
      <c r="K225" s="25">
        <f t="shared" si="27"/>
        <v>0</v>
      </c>
      <c r="L225" s="18">
        <f t="shared" si="28"/>
        <v>0</v>
      </c>
      <c r="M225" s="19">
        <f t="shared" si="29"/>
        <v>0</v>
      </c>
      <c r="N225" s="22">
        <f t="shared" si="30"/>
        <v>444792.86000000004</v>
      </c>
      <c r="O225" s="23">
        <f t="shared" si="31"/>
        <v>0</v>
      </c>
    </row>
    <row r="226" spans="1:15" customFormat="1">
      <c r="A226" s="54">
        <v>5</v>
      </c>
      <c r="B226" s="32" t="s">
        <v>226</v>
      </c>
      <c r="C226" s="9" t="s">
        <v>448</v>
      </c>
      <c r="D226" s="43"/>
      <c r="E226" s="44"/>
      <c r="F226" s="24">
        <f t="shared" si="24"/>
        <v>0</v>
      </c>
      <c r="G226" s="25">
        <f t="shared" si="25"/>
        <v>0</v>
      </c>
      <c r="H226" s="43"/>
      <c r="I226" s="44"/>
      <c r="J226" s="27">
        <f t="shared" si="26"/>
        <v>0</v>
      </c>
      <c r="K226" s="25">
        <f t="shared" si="27"/>
        <v>0</v>
      </c>
      <c r="L226" s="18">
        <f t="shared" si="28"/>
        <v>0</v>
      </c>
      <c r="M226" s="19">
        <f t="shared" si="29"/>
        <v>0</v>
      </c>
      <c r="N226" s="22">
        <f t="shared" si="30"/>
        <v>0</v>
      </c>
      <c r="O226" s="23">
        <f t="shared" si="31"/>
        <v>0</v>
      </c>
    </row>
    <row r="227" spans="1:15" customFormat="1">
      <c r="A227" s="54">
        <v>5</v>
      </c>
      <c r="B227" s="32" t="s">
        <v>227</v>
      </c>
      <c r="C227" s="9" t="s">
        <v>449</v>
      </c>
      <c r="D227" s="43">
        <v>107457.3</v>
      </c>
      <c r="E227" s="44"/>
      <c r="F227" s="24">
        <f t="shared" si="24"/>
        <v>107457.3</v>
      </c>
      <c r="G227" s="25">
        <f t="shared" si="25"/>
        <v>0</v>
      </c>
      <c r="H227" s="43"/>
      <c r="I227" s="44"/>
      <c r="J227" s="27">
        <f t="shared" si="26"/>
        <v>107457.3</v>
      </c>
      <c r="K227" s="25">
        <f t="shared" si="27"/>
        <v>0</v>
      </c>
      <c r="L227" s="18">
        <f t="shared" si="28"/>
        <v>0</v>
      </c>
      <c r="M227" s="19">
        <f t="shared" si="29"/>
        <v>0</v>
      </c>
      <c r="N227" s="22">
        <f t="shared" si="30"/>
        <v>107457.3</v>
      </c>
      <c r="O227" s="23">
        <f t="shared" si="31"/>
        <v>0</v>
      </c>
    </row>
    <row r="228" spans="1:15" customFormat="1">
      <c r="A228" s="54">
        <v>5</v>
      </c>
      <c r="B228" s="32" t="s">
        <v>228</v>
      </c>
      <c r="C228" s="9" t="s">
        <v>450</v>
      </c>
      <c r="D228" s="43"/>
      <c r="E228" s="44"/>
      <c r="F228" s="24">
        <f t="shared" si="24"/>
        <v>0</v>
      </c>
      <c r="G228" s="25">
        <f t="shared" si="25"/>
        <v>0</v>
      </c>
      <c r="H228" s="43"/>
      <c r="I228" s="44"/>
      <c r="J228" s="27">
        <f t="shared" si="26"/>
        <v>0</v>
      </c>
      <c r="K228" s="25">
        <f t="shared" si="27"/>
        <v>0</v>
      </c>
      <c r="L228" s="18">
        <f t="shared" si="28"/>
        <v>0</v>
      </c>
      <c r="M228" s="19">
        <f t="shared" si="29"/>
        <v>0</v>
      </c>
      <c r="N228" s="22">
        <f t="shared" si="30"/>
        <v>0</v>
      </c>
      <c r="O228" s="23">
        <f t="shared" si="31"/>
        <v>0</v>
      </c>
    </row>
    <row r="229" spans="1:15" customFormat="1">
      <c r="A229" s="54">
        <v>5</v>
      </c>
      <c r="B229" s="32" t="s">
        <v>229</v>
      </c>
      <c r="C229" s="9" t="s">
        <v>451</v>
      </c>
      <c r="D229" s="43">
        <v>81911.790000000008</v>
      </c>
      <c r="E229" s="44"/>
      <c r="F229" s="24">
        <f t="shared" si="24"/>
        <v>81911.790000000008</v>
      </c>
      <c r="G229" s="25">
        <f t="shared" si="25"/>
        <v>0</v>
      </c>
      <c r="H229" s="43"/>
      <c r="I229" s="44"/>
      <c r="J229" s="27">
        <f t="shared" si="26"/>
        <v>81911.790000000008</v>
      </c>
      <c r="K229" s="25">
        <f t="shared" si="27"/>
        <v>0</v>
      </c>
      <c r="L229" s="18">
        <f t="shared" si="28"/>
        <v>0</v>
      </c>
      <c r="M229" s="19">
        <f t="shared" si="29"/>
        <v>0</v>
      </c>
      <c r="N229" s="22">
        <f t="shared" si="30"/>
        <v>81911.790000000008</v>
      </c>
      <c r="O229" s="23">
        <f t="shared" si="31"/>
        <v>0</v>
      </c>
    </row>
    <row r="230" spans="1:15" customFormat="1">
      <c r="A230" s="54">
        <v>5</v>
      </c>
      <c r="B230" s="32" t="s">
        <v>230</v>
      </c>
      <c r="C230" s="9" t="s">
        <v>452</v>
      </c>
      <c r="D230" s="43"/>
      <c r="E230" s="44"/>
      <c r="F230" s="24">
        <f t="shared" si="24"/>
        <v>0</v>
      </c>
      <c r="G230" s="25">
        <f t="shared" si="25"/>
        <v>0</v>
      </c>
      <c r="H230" s="43"/>
      <c r="I230" s="44"/>
      <c r="J230" s="27">
        <f t="shared" si="26"/>
        <v>0</v>
      </c>
      <c r="K230" s="25">
        <f t="shared" si="27"/>
        <v>0</v>
      </c>
      <c r="L230" s="18">
        <f t="shared" si="28"/>
        <v>0</v>
      </c>
      <c r="M230" s="19">
        <f t="shared" si="29"/>
        <v>0</v>
      </c>
      <c r="N230" s="22">
        <f t="shared" si="30"/>
        <v>0</v>
      </c>
      <c r="O230" s="23">
        <f t="shared" si="31"/>
        <v>0</v>
      </c>
    </row>
    <row r="231" spans="1:15" customFormat="1">
      <c r="A231" s="54">
        <v>5</v>
      </c>
      <c r="B231" s="32" t="s">
        <v>231</v>
      </c>
      <c r="C231" s="9" t="s">
        <v>453</v>
      </c>
      <c r="D231" s="43"/>
      <c r="E231" s="44"/>
      <c r="F231" s="24">
        <f t="shared" si="24"/>
        <v>0</v>
      </c>
      <c r="G231" s="25">
        <f t="shared" si="25"/>
        <v>0</v>
      </c>
      <c r="H231" s="43"/>
      <c r="I231" s="44"/>
      <c r="J231" s="27">
        <f t="shared" si="26"/>
        <v>0</v>
      </c>
      <c r="K231" s="25">
        <f t="shared" si="27"/>
        <v>0</v>
      </c>
      <c r="L231" s="18">
        <f t="shared" si="28"/>
        <v>0</v>
      </c>
      <c r="M231" s="19">
        <f t="shared" si="29"/>
        <v>0</v>
      </c>
      <c r="N231" s="22">
        <f t="shared" si="30"/>
        <v>0</v>
      </c>
      <c r="O231" s="23">
        <f t="shared" si="31"/>
        <v>0</v>
      </c>
    </row>
    <row r="232" spans="1:15" s="33" customFormat="1" ht="15.75" thickBot="1">
      <c r="B232" s="305" t="s">
        <v>455</v>
      </c>
      <c r="C232" s="305"/>
      <c r="D232" s="45">
        <f t="shared" ref="D232:O232" si="32">SUM(D10:D231)</f>
        <v>91150886.019999996</v>
      </c>
      <c r="E232" s="46">
        <f t="shared" si="32"/>
        <v>91150886.020000011</v>
      </c>
      <c r="F232" s="47">
        <f t="shared" si="32"/>
        <v>91150886.019999996</v>
      </c>
      <c r="G232" s="48">
        <f t="shared" si="32"/>
        <v>91150886.020000011</v>
      </c>
      <c r="H232" s="45">
        <f t="shared" si="32"/>
        <v>0</v>
      </c>
      <c r="I232" s="46">
        <f t="shared" si="32"/>
        <v>0</v>
      </c>
      <c r="J232" s="49">
        <f t="shared" si="32"/>
        <v>91150886.019999996</v>
      </c>
      <c r="K232" s="48">
        <f t="shared" si="32"/>
        <v>91150886.020000011</v>
      </c>
      <c r="L232" s="50">
        <f t="shared" si="32"/>
        <v>50222389.899999991</v>
      </c>
      <c r="M232" s="51">
        <f t="shared" si="32"/>
        <v>45043910.450000003</v>
      </c>
      <c r="N232" s="47">
        <f t="shared" si="32"/>
        <v>40928496.119999982</v>
      </c>
      <c r="O232" s="48">
        <f t="shared" si="32"/>
        <v>46106975.57</v>
      </c>
    </row>
    <row r="233" spans="1:15" ht="15.75" thickTop="1">
      <c r="C233" s="29" t="s">
        <v>465</v>
      </c>
      <c r="L233" s="30">
        <f>O233</f>
        <v>0</v>
      </c>
      <c r="M233" s="30">
        <f>N233</f>
        <v>5178479.4500000179</v>
      </c>
      <c r="N233" s="30">
        <f>IF(O232&gt;N232,O232-N232,0)</f>
        <v>5178479.4500000179</v>
      </c>
      <c r="O233" s="30">
        <f>IF(N232&gt;O232,N232-O232,0)</f>
        <v>0</v>
      </c>
    </row>
    <row r="234" spans="1:15" ht="15.75" thickBot="1">
      <c r="L234" s="55">
        <f>SUM(L232:L233)</f>
        <v>50222389.899999991</v>
      </c>
      <c r="M234" s="55">
        <f>SUM(M232:M233)</f>
        <v>50222389.900000021</v>
      </c>
      <c r="N234" s="55">
        <f>SUM(N232:N233)</f>
        <v>46106975.57</v>
      </c>
      <c r="O234" s="55">
        <f>SUM(O232:O233)</f>
        <v>46106975.57</v>
      </c>
    </row>
    <row r="235" spans="1:15" ht="15.75" thickTop="1"/>
  </sheetData>
  <autoFilter ref="A9:P231"/>
  <mergeCells count="13">
    <mergeCell ref="B232:C232"/>
    <mergeCell ref="D4:E5"/>
    <mergeCell ref="H4:I5"/>
    <mergeCell ref="F4:G5"/>
    <mergeCell ref="D6:E6"/>
    <mergeCell ref="N4:O5"/>
    <mergeCell ref="N6:O6"/>
    <mergeCell ref="L6:M6"/>
    <mergeCell ref="F6:G6"/>
    <mergeCell ref="H6:I6"/>
    <mergeCell ref="J4:K5"/>
    <mergeCell ref="J6:K6"/>
    <mergeCell ref="L4:M5"/>
  </mergeCells>
  <conditionalFormatting sqref="J10:K232 F10:G65536">
    <cfRule type="cellIs" dxfId="0" priority="2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52"/>
  <sheetViews>
    <sheetView topLeftCell="A7" zoomScale="120" zoomScaleNormal="120" workbookViewId="0">
      <selection activeCell="H156" sqref="H156"/>
    </sheetView>
  </sheetViews>
  <sheetFormatPr defaultRowHeight="13.5"/>
  <cols>
    <col min="1" max="1" width="7.85546875" style="91" customWidth="1"/>
    <col min="2" max="2" width="7.5703125" style="91" customWidth="1"/>
    <col min="3" max="3" width="7.28515625" style="91" customWidth="1"/>
    <col min="4" max="4" width="12.7109375" style="91" customWidth="1"/>
    <col min="5" max="5" width="14.140625" style="91" customWidth="1"/>
    <col min="6" max="6" width="3.140625" style="91" customWidth="1"/>
    <col min="7" max="7" width="14.5703125" style="75" customWidth="1"/>
    <col min="8" max="16384" width="9.140625" style="91"/>
  </cols>
  <sheetData>
    <row r="1" spans="1:7" ht="12.75">
      <c r="A1" s="323" t="s">
        <v>512</v>
      </c>
      <c r="B1" s="323"/>
      <c r="C1" s="323"/>
      <c r="D1" s="323"/>
      <c r="E1" s="323"/>
      <c r="F1" s="323"/>
      <c r="G1" s="323"/>
    </row>
    <row r="2" spans="1:7" ht="12.75">
      <c r="A2" s="323" t="s">
        <v>638</v>
      </c>
      <c r="B2" s="323"/>
      <c r="C2" s="323"/>
      <c r="D2" s="323"/>
      <c r="E2" s="323"/>
      <c r="F2" s="323"/>
      <c r="G2" s="323"/>
    </row>
    <row r="3" spans="1:7" ht="12.75">
      <c r="A3" s="322" t="s">
        <v>728</v>
      </c>
      <c r="B3" s="322"/>
      <c r="C3" s="322"/>
      <c r="D3" s="322"/>
      <c r="E3" s="322"/>
      <c r="F3" s="322"/>
      <c r="G3" s="322"/>
    </row>
    <row r="4" spans="1:7" ht="12.75">
      <c r="A4" s="322"/>
      <c r="B4" s="322"/>
      <c r="C4" s="322"/>
      <c r="D4" s="322"/>
      <c r="E4" s="322"/>
      <c r="F4" s="322"/>
      <c r="G4" s="322"/>
    </row>
    <row r="6" spans="1:7">
      <c r="A6" s="87" t="s">
        <v>514</v>
      </c>
      <c r="B6" s="76"/>
      <c r="C6" s="76"/>
      <c r="D6" s="76"/>
      <c r="E6" s="76"/>
      <c r="F6" s="76"/>
      <c r="G6" s="93"/>
    </row>
    <row r="7" spans="1:7">
      <c r="A7" s="87" t="s">
        <v>515</v>
      </c>
      <c r="B7" s="76"/>
      <c r="C7" s="76"/>
      <c r="D7" s="76"/>
      <c r="E7" s="76"/>
      <c r="F7" s="76"/>
      <c r="G7" s="85"/>
    </row>
    <row r="8" spans="1:7" hidden="1">
      <c r="A8" s="95" t="s">
        <v>516</v>
      </c>
      <c r="B8" s="76"/>
      <c r="C8" s="76"/>
      <c r="D8" s="76"/>
      <c r="E8" s="76"/>
      <c r="F8" s="76"/>
      <c r="G8" s="96">
        <f>G10+G14+G17</f>
        <v>0</v>
      </c>
    </row>
    <row r="9" spans="1:7" hidden="1">
      <c r="A9" s="95"/>
      <c r="B9" s="76"/>
      <c r="C9" s="76"/>
      <c r="D9" s="76"/>
      <c r="E9" s="76"/>
      <c r="F9" s="76"/>
      <c r="G9" s="85"/>
    </row>
    <row r="10" spans="1:7" hidden="1">
      <c r="A10" s="76" t="s">
        <v>517</v>
      </c>
      <c r="B10" s="76"/>
      <c r="C10" s="76"/>
      <c r="D10" s="76"/>
      <c r="E10" s="76"/>
      <c r="F10" s="76"/>
      <c r="G10" s="83">
        <f>SUM(G11:G12)</f>
        <v>0</v>
      </c>
    </row>
    <row r="11" spans="1:7" hidden="1">
      <c r="A11" s="76" t="s">
        <v>518</v>
      </c>
      <c r="B11" s="76" t="s">
        <v>519</v>
      </c>
      <c r="C11" s="76"/>
      <c r="D11" s="76"/>
      <c r="E11" s="76"/>
      <c r="F11" s="76"/>
      <c r="G11" s="86"/>
    </row>
    <row r="12" spans="1:7" hidden="1">
      <c r="A12" s="76"/>
      <c r="B12" s="76" t="s">
        <v>520</v>
      </c>
      <c r="C12" s="76"/>
      <c r="D12" s="76"/>
      <c r="E12" s="76"/>
      <c r="F12" s="76"/>
      <c r="G12" s="86"/>
    </row>
    <row r="13" spans="1:7" hidden="1">
      <c r="A13" s="76"/>
      <c r="B13" s="76"/>
      <c r="C13" s="76"/>
      <c r="D13" s="76"/>
      <c r="E13" s="76"/>
      <c r="F13" s="76"/>
      <c r="G13" s="86"/>
    </row>
    <row r="14" spans="1:7" hidden="1">
      <c r="A14" s="95" t="s">
        <v>521</v>
      </c>
      <c r="B14" s="76"/>
      <c r="C14" s="76"/>
      <c r="D14" s="76"/>
      <c r="E14" s="76"/>
      <c r="F14" s="76"/>
      <c r="G14" s="83">
        <f>G15</f>
        <v>0</v>
      </c>
    </row>
    <row r="15" spans="1:7" hidden="1">
      <c r="A15" s="98"/>
      <c r="B15" s="76" t="s">
        <v>522</v>
      </c>
      <c r="C15" s="76"/>
      <c r="D15" s="76"/>
      <c r="E15" s="76"/>
      <c r="F15" s="76"/>
      <c r="G15" s="86"/>
    </row>
    <row r="16" spans="1:7" hidden="1">
      <c r="A16" s="98"/>
      <c r="B16" s="76"/>
      <c r="C16" s="76"/>
      <c r="D16" s="76"/>
      <c r="E16" s="76"/>
      <c r="F16" s="76"/>
      <c r="G16" s="86"/>
    </row>
    <row r="17" spans="1:7" hidden="1">
      <c r="A17" s="95" t="s">
        <v>523</v>
      </c>
      <c r="B17" s="76"/>
      <c r="C17" s="76"/>
      <c r="D17" s="76"/>
      <c r="E17" s="76"/>
      <c r="F17" s="76"/>
      <c r="G17" s="83">
        <f>SUM(G18:G19)</f>
        <v>0</v>
      </c>
    </row>
    <row r="18" spans="1:7" hidden="1">
      <c r="A18" s="76"/>
      <c r="B18" s="76" t="s">
        <v>524</v>
      </c>
      <c r="C18" s="76"/>
      <c r="D18" s="76"/>
      <c r="E18" s="76"/>
      <c r="F18" s="76"/>
      <c r="G18" s="86"/>
    </row>
    <row r="19" spans="1:7" hidden="1">
      <c r="A19" s="76"/>
      <c r="B19" s="76" t="s">
        <v>525</v>
      </c>
      <c r="C19" s="76"/>
      <c r="D19" s="76"/>
      <c r="E19" s="76"/>
      <c r="F19" s="76"/>
      <c r="G19" s="86">
        <v>0</v>
      </c>
    </row>
    <row r="20" spans="1:7" hidden="1">
      <c r="A20" s="76"/>
      <c r="B20" s="76"/>
      <c r="C20" s="76"/>
      <c r="D20" s="76"/>
      <c r="E20" s="76"/>
      <c r="F20" s="76"/>
      <c r="G20" s="86"/>
    </row>
    <row r="21" spans="1:7">
      <c r="A21" s="87" t="s">
        <v>526</v>
      </c>
      <c r="B21" s="76"/>
      <c r="C21" s="76"/>
      <c r="D21" s="76"/>
      <c r="E21" s="76"/>
      <c r="F21" s="76"/>
      <c r="G21" s="96">
        <f>+G23</f>
        <v>16019</v>
      </c>
    </row>
    <row r="22" spans="1:7">
      <c r="A22" s="87"/>
      <c r="B22" s="76"/>
      <c r="C22" s="76"/>
      <c r="D22" s="76"/>
      <c r="E22" s="76"/>
      <c r="F22" s="76"/>
      <c r="G22" s="86"/>
    </row>
    <row r="23" spans="1:7">
      <c r="A23" s="98" t="s">
        <v>248</v>
      </c>
      <c r="B23" s="76"/>
      <c r="C23" s="76"/>
      <c r="D23" s="76"/>
      <c r="E23" s="76"/>
      <c r="F23" s="76"/>
      <c r="G23" s="83">
        <f>G24</f>
        <v>16019</v>
      </c>
    </row>
    <row r="24" spans="1:7">
      <c r="A24" s="76"/>
      <c r="B24" s="76" t="s">
        <v>626</v>
      </c>
      <c r="C24" s="76"/>
      <c r="D24" s="76"/>
      <c r="E24" s="76"/>
      <c r="F24" s="76"/>
      <c r="G24" s="79">
        <v>16019</v>
      </c>
    </row>
    <row r="25" spans="1:7">
      <c r="A25" s="76"/>
      <c r="B25" s="76" t="s">
        <v>248</v>
      </c>
      <c r="C25" s="76"/>
      <c r="D25" s="76"/>
      <c r="E25" s="76"/>
      <c r="F25" s="76"/>
      <c r="G25" s="79"/>
    </row>
    <row r="26" spans="1:7" hidden="1">
      <c r="A26" s="87" t="s">
        <v>527</v>
      </c>
      <c r="B26" s="76"/>
      <c r="C26" s="76"/>
      <c r="D26" s="76"/>
      <c r="E26" s="76"/>
      <c r="F26" s="76"/>
      <c r="G26" s="99">
        <f>+G28</f>
        <v>0</v>
      </c>
    </row>
    <row r="27" spans="1:7" hidden="1">
      <c r="A27" s="87"/>
      <c r="B27" s="76"/>
      <c r="C27" s="76"/>
      <c r="D27" s="76"/>
      <c r="E27" s="76"/>
      <c r="F27" s="76"/>
      <c r="G27" s="79"/>
    </row>
    <row r="28" spans="1:7" hidden="1">
      <c r="A28" s="98" t="s">
        <v>528</v>
      </c>
      <c r="B28" s="76"/>
      <c r="C28" s="76"/>
      <c r="D28" s="76"/>
      <c r="E28" s="76"/>
      <c r="F28" s="76"/>
      <c r="G28" s="80">
        <f>SUM(G29:G32)</f>
        <v>0</v>
      </c>
    </row>
    <row r="29" spans="1:7" hidden="1">
      <c r="A29" s="76"/>
      <c r="B29" s="100" t="s">
        <v>249</v>
      </c>
      <c r="C29" s="76"/>
      <c r="D29" s="76"/>
      <c r="E29" s="76"/>
      <c r="F29" s="76"/>
      <c r="G29" s="79"/>
    </row>
    <row r="30" spans="1:7" hidden="1">
      <c r="A30" s="76"/>
      <c r="B30" s="100" t="s">
        <v>529</v>
      </c>
      <c r="C30" s="76"/>
      <c r="D30" s="76"/>
      <c r="E30" s="76"/>
      <c r="F30" s="76"/>
      <c r="G30" s="79"/>
    </row>
    <row r="31" spans="1:7" hidden="1">
      <c r="A31" s="76"/>
      <c r="B31" s="100" t="s">
        <v>251</v>
      </c>
      <c r="C31" s="76"/>
      <c r="D31" s="76"/>
      <c r="E31" s="76"/>
      <c r="F31" s="76"/>
      <c r="G31" s="79"/>
    </row>
    <row r="32" spans="1:7" hidden="1">
      <c r="A32" s="76"/>
      <c r="B32" s="100" t="s">
        <v>530</v>
      </c>
      <c r="C32" s="76"/>
      <c r="D32" s="76"/>
      <c r="E32" s="76"/>
      <c r="F32" s="76"/>
      <c r="G32" s="79"/>
    </row>
    <row r="33" spans="1:7" hidden="1">
      <c r="A33" s="76"/>
      <c r="B33" s="100"/>
      <c r="C33" s="76"/>
      <c r="D33" s="76"/>
      <c r="E33" s="76"/>
      <c r="F33" s="76"/>
      <c r="G33" s="79"/>
    </row>
    <row r="34" spans="1:7" hidden="1">
      <c r="A34" s="87" t="s">
        <v>531</v>
      </c>
      <c r="B34" s="76"/>
      <c r="C34" s="76"/>
      <c r="D34" s="76"/>
      <c r="E34" s="76"/>
      <c r="F34" s="76"/>
      <c r="G34" s="99">
        <f>G40+G36</f>
        <v>0</v>
      </c>
    </row>
    <row r="35" spans="1:7" hidden="1">
      <c r="A35" s="87"/>
      <c r="B35" s="76"/>
      <c r="C35" s="76"/>
      <c r="D35" s="76"/>
      <c r="E35" s="76"/>
      <c r="F35" s="76"/>
      <c r="G35" s="79"/>
    </row>
    <row r="36" spans="1:7" hidden="1">
      <c r="A36" s="98"/>
      <c r="B36" s="76"/>
      <c r="C36" s="76"/>
      <c r="D36" s="76"/>
      <c r="E36" s="76"/>
      <c r="F36" s="76"/>
      <c r="G36" s="80"/>
    </row>
    <row r="37" spans="1:7" hidden="1">
      <c r="A37" s="87"/>
      <c r="B37" s="76"/>
      <c r="C37" s="76"/>
      <c r="D37" s="76"/>
      <c r="E37" s="76"/>
      <c r="F37" s="76"/>
      <c r="G37" s="79">
        <v>16019</v>
      </c>
    </row>
    <row r="38" spans="1:7" hidden="1">
      <c r="A38" s="87"/>
      <c r="B38" s="76" t="s">
        <v>300</v>
      </c>
      <c r="C38" s="76"/>
      <c r="D38" s="76"/>
      <c r="E38" s="76"/>
      <c r="F38" s="76"/>
      <c r="G38" s="79"/>
    </row>
    <row r="39" spans="1:7" hidden="1">
      <c r="A39" s="87"/>
      <c r="B39" s="76"/>
      <c r="C39" s="76"/>
      <c r="D39" s="76"/>
      <c r="E39" s="76"/>
      <c r="F39" s="76"/>
      <c r="G39" s="79"/>
    </row>
    <row r="40" spans="1:7" hidden="1">
      <c r="A40" s="98" t="s">
        <v>491</v>
      </c>
      <c r="B40" s="76"/>
      <c r="C40" s="76"/>
      <c r="D40" s="76"/>
      <c r="E40" s="76"/>
      <c r="F40" s="76"/>
      <c r="G40" s="80">
        <f>SUM(G41:G42)</f>
        <v>0</v>
      </c>
    </row>
    <row r="41" spans="1:7" hidden="1">
      <c r="A41" s="87"/>
      <c r="B41" s="76" t="s">
        <v>301</v>
      </c>
      <c r="C41" s="76"/>
      <c r="D41" s="76"/>
      <c r="E41" s="76"/>
      <c r="F41" s="76"/>
      <c r="G41" s="79"/>
    </row>
    <row r="42" spans="1:7" hidden="1">
      <c r="A42" s="87"/>
      <c r="B42" s="76" t="s">
        <v>304</v>
      </c>
      <c r="C42" s="76"/>
      <c r="D42" s="76"/>
      <c r="E42" s="76"/>
      <c r="F42" s="76"/>
      <c r="G42" s="79"/>
    </row>
    <row r="43" spans="1:7" hidden="1">
      <c r="A43" s="87"/>
      <c r="B43" s="76"/>
      <c r="C43" s="76"/>
      <c r="D43" s="76"/>
      <c r="E43" s="76"/>
      <c r="F43" s="76"/>
      <c r="G43" s="79"/>
    </row>
    <row r="44" spans="1:7" hidden="1">
      <c r="A44" s="87"/>
      <c r="B44" s="76"/>
      <c r="C44" s="76"/>
      <c r="D44" s="76"/>
      <c r="E44" s="76"/>
      <c r="F44" s="76"/>
      <c r="G44" s="79"/>
    </row>
    <row r="45" spans="1:7" hidden="1">
      <c r="A45" s="87" t="s">
        <v>532</v>
      </c>
      <c r="B45" s="76"/>
      <c r="C45" s="76"/>
      <c r="D45" s="76"/>
      <c r="E45" s="76"/>
      <c r="F45" s="76"/>
      <c r="G45" s="101">
        <f>G8+G21+G26+G34</f>
        <v>16019</v>
      </c>
    </row>
    <row r="46" spans="1:7" hidden="1">
      <c r="A46" s="76"/>
      <c r="B46" s="76"/>
      <c r="C46" s="76"/>
      <c r="D46" s="76"/>
      <c r="E46" s="76"/>
      <c r="F46" s="76"/>
      <c r="G46" s="79"/>
    </row>
    <row r="47" spans="1:7" hidden="1">
      <c r="A47" s="87" t="s">
        <v>533</v>
      </c>
      <c r="B47" s="76"/>
      <c r="C47" s="76"/>
      <c r="D47" s="76"/>
      <c r="E47" s="76"/>
      <c r="F47" s="76"/>
      <c r="G47" s="79"/>
    </row>
    <row r="48" spans="1:7" hidden="1">
      <c r="A48" s="87"/>
      <c r="B48" s="76"/>
      <c r="C48" s="76"/>
      <c r="D48" s="76"/>
      <c r="E48" s="76"/>
      <c r="F48" s="76"/>
      <c r="G48" s="79"/>
    </row>
    <row r="49" spans="1:7" hidden="1">
      <c r="A49" s="87" t="s">
        <v>534</v>
      </c>
      <c r="B49" s="87"/>
      <c r="C49" s="76"/>
      <c r="D49" s="76"/>
      <c r="E49" s="76"/>
      <c r="F49" s="76"/>
      <c r="G49" s="96">
        <f>G51+G56+G67+G72+G86+G91+G96+G99</f>
        <v>0</v>
      </c>
    </row>
    <row r="50" spans="1:7" hidden="1">
      <c r="A50" s="87"/>
      <c r="B50" s="87"/>
      <c r="C50" s="76"/>
      <c r="D50" s="76"/>
      <c r="E50" s="76"/>
      <c r="F50" s="76"/>
      <c r="G50" s="88"/>
    </row>
    <row r="51" spans="1:7" hidden="1">
      <c r="A51" s="98" t="s">
        <v>254</v>
      </c>
      <c r="B51" s="87"/>
      <c r="C51" s="76"/>
      <c r="D51" s="76"/>
      <c r="E51" s="76"/>
      <c r="F51" s="76"/>
      <c r="G51" s="86"/>
    </row>
    <row r="52" spans="1:7" hidden="1">
      <c r="A52" s="98"/>
      <c r="B52" s="100" t="s">
        <v>254</v>
      </c>
      <c r="C52" s="76"/>
      <c r="D52" s="76"/>
      <c r="E52" s="97"/>
      <c r="F52" s="77"/>
      <c r="G52" s="86"/>
    </row>
    <row r="53" spans="1:7" hidden="1">
      <c r="A53" s="102"/>
      <c r="B53" s="103" t="s">
        <v>535</v>
      </c>
      <c r="C53" s="76"/>
      <c r="D53" s="76"/>
      <c r="E53" s="97"/>
      <c r="F53" s="77"/>
      <c r="G53" s="83">
        <v>0</v>
      </c>
    </row>
    <row r="54" spans="1:7" hidden="1">
      <c r="A54" s="102"/>
      <c r="B54" s="103" t="s">
        <v>536</v>
      </c>
      <c r="C54" s="76"/>
      <c r="D54" s="76"/>
      <c r="E54" s="97"/>
      <c r="F54" s="77"/>
      <c r="G54" s="86">
        <f>G52+G53</f>
        <v>0</v>
      </c>
    </row>
    <row r="55" spans="1:7" hidden="1">
      <c r="A55" s="76"/>
      <c r="B55" s="76"/>
      <c r="C55" s="76"/>
      <c r="D55" s="76"/>
      <c r="E55" s="97"/>
      <c r="F55" s="77"/>
      <c r="G55" s="86"/>
    </row>
    <row r="56" spans="1:7" hidden="1">
      <c r="A56" s="98" t="s">
        <v>537</v>
      </c>
      <c r="B56" s="76"/>
      <c r="C56" s="76"/>
      <c r="D56" s="76"/>
      <c r="E56" s="97"/>
      <c r="F56" s="77"/>
      <c r="G56" s="83">
        <f>+G59</f>
        <v>0</v>
      </c>
    </row>
    <row r="57" spans="1:7" hidden="1">
      <c r="A57" s="76"/>
      <c r="B57" s="100" t="s">
        <v>255</v>
      </c>
      <c r="C57" s="76"/>
      <c r="D57" s="76"/>
      <c r="E57" s="97"/>
      <c r="F57" s="77"/>
      <c r="G57" s="86"/>
    </row>
    <row r="58" spans="1:7" hidden="1">
      <c r="A58" s="76"/>
      <c r="B58" s="103" t="s">
        <v>538</v>
      </c>
      <c r="C58" s="76"/>
      <c r="D58" s="76"/>
      <c r="E58" s="97"/>
      <c r="F58" s="77"/>
      <c r="G58" s="104"/>
    </row>
    <row r="59" spans="1:7" hidden="1">
      <c r="A59" s="87"/>
      <c r="B59" s="103" t="s">
        <v>536</v>
      </c>
      <c r="C59" s="76"/>
      <c r="D59" s="76"/>
      <c r="E59" s="97"/>
      <c r="F59" s="77"/>
      <c r="G59" s="84">
        <f>G57+G58</f>
        <v>0</v>
      </c>
    </row>
    <row r="60" spans="1:7" hidden="1">
      <c r="A60" s="87"/>
      <c r="B60" s="103"/>
      <c r="C60" s="76"/>
      <c r="D60" s="76"/>
      <c r="E60" s="97"/>
      <c r="F60" s="77"/>
      <c r="G60" s="86"/>
    </row>
    <row r="61" spans="1:7" hidden="1">
      <c r="A61" s="87"/>
      <c r="B61" s="103"/>
      <c r="C61" s="76"/>
      <c r="D61" s="76"/>
      <c r="E61" s="97"/>
      <c r="F61" s="77"/>
      <c r="G61" s="86"/>
    </row>
    <row r="62" spans="1:7" ht="12.75" hidden="1">
      <c r="A62" s="323" t="s">
        <v>512</v>
      </c>
      <c r="B62" s="323"/>
      <c r="C62" s="323"/>
      <c r="D62" s="323"/>
      <c r="E62" s="323"/>
      <c r="F62" s="323"/>
      <c r="G62" s="323"/>
    </row>
    <row r="63" spans="1:7" ht="12.75" hidden="1">
      <c r="A63" s="323" t="s">
        <v>539</v>
      </c>
      <c r="B63" s="323"/>
      <c r="C63" s="323"/>
      <c r="D63" s="323"/>
      <c r="E63" s="323"/>
      <c r="F63" s="323"/>
      <c r="G63" s="323"/>
    </row>
    <row r="64" spans="1:7" ht="12.75" hidden="1">
      <c r="A64" s="323" t="s">
        <v>540</v>
      </c>
      <c r="B64" s="323"/>
      <c r="C64" s="323"/>
      <c r="D64" s="323"/>
      <c r="E64" s="323"/>
      <c r="F64" s="323"/>
      <c r="G64" s="323"/>
    </row>
    <row r="65" spans="1:7" ht="12.75" hidden="1">
      <c r="A65" s="322" t="s">
        <v>8</v>
      </c>
      <c r="B65" s="322"/>
      <c r="C65" s="322"/>
      <c r="D65" s="322"/>
      <c r="E65" s="322"/>
      <c r="F65" s="322"/>
      <c r="G65" s="322"/>
    </row>
    <row r="66" spans="1:7" hidden="1">
      <c r="A66" s="87"/>
      <c r="B66" s="103"/>
      <c r="C66" s="76"/>
      <c r="D66" s="76"/>
      <c r="E66" s="97"/>
      <c r="F66" s="77"/>
      <c r="G66" s="86"/>
    </row>
    <row r="67" spans="1:7" hidden="1">
      <c r="A67" s="98" t="s">
        <v>541</v>
      </c>
      <c r="B67" s="103"/>
      <c r="C67" s="76"/>
      <c r="D67" s="76"/>
      <c r="E67" s="97"/>
      <c r="F67" s="77"/>
      <c r="G67" s="83">
        <f>+G70</f>
        <v>0</v>
      </c>
    </row>
    <row r="68" spans="1:7" hidden="1">
      <c r="A68" s="76"/>
      <c r="B68" s="100" t="s">
        <v>542</v>
      </c>
      <c r="C68" s="76"/>
      <c r="D68" s="76"/>
      <c r="E68" s="97"/>
      <c r="F68" s="77"/>
      <c r="G68" s="86"/>
    </row>
    <row r="69" spans="1:7" hidden="1">
      <c r="A69" s="76"/>
      <c r="B69" s="103" t="s">
        <v>543</v>
      </c>
      <c r="C69" s="76"/>
      <c r="D69" s="76"/>
      <c r="E69" s="97"/>
      <c r="F69" s="77"/>
      <c r="G69" s="104"/>
    </row>
    <row r="70" spans="1:7" hidden="1">
      <c r="A70" s="76"/>
      <c r="B70" s="103" t="s">
        <v>536</v>
      </c>
      <c r="C70" s="76"/>
      <c r="D70" s="76"/>
      <c r="E70" s="97"/>
      <c r="F70" s="77"/>
      <c r="G70" s="84">
        <f>G68+G69</f>
        <v>0</v>
      </c>
    </row>
    <row r="71" spans="1:7" hidden="1">
      <c r="A71" s="76"/>
      <c r="B71" s="103"/>
      <c r="C71" s="76"/>
      <c r="D71" s="76"/>
      <c r="E71" s="97"/>
      <c r="F71" s="77"/>
      <c r="G71" s="86"/>
    </row>
    <row r="72" spans="1:7" hidden="1">
      <c r="A72" s="98" t="s">
        <v>544</v>
      </c>
      <c r="B72" s="103"/>
      <c r="C72" s="76"/>
      <c r="D72" s="76"/>
      <c r="E72" s="97"/>
      <c r="F72" s="77"/>
      <c r="G72" s="83">
        <f>+G75+G78+G81+G84</f>
        <v>0</v>
      </c>
    </row>
    <row r="73" spans="1:7" hidden="1">
      <c r="A73" s="76"/>
      <c r="B73" s="100" t="s">
        <v>264</v>
      </c>
      <c r="C73" s="76"/>
      <c r="D73" s="76"/>
      <c r="E73" s="97"/>
      <c r="F73" s="77"/>
      <c r="G73" s="86"/>
    </row>
    <row r="74" spans="1:7" hidden="1">
      <c r="A74" s="76"/>
      <c r="B74" s="103" t="s">
        <v>545</v>
      </c>
      <c r="C74" s="76"/>
      <c r="D74" s="76"/>
      <c r="E74" s="97"/>
      <c r="F74" s="77"/>
      <c r="G74" s="104"/>
    </row>
    <row r="75" spans="1:7" hidden="1">
      <c r="A75" s="76"/>
      <c r="B75" s="103" t="s">
        <v>536</v>
      </c>
      <c r="C75" s="76"/>
      <c r="D75" s="76"/>
      <c r="E75" s="97"/>
      <c r="F75" s="77"/>
      <c r="G75" s="84">
        <f>G73+G74</f>
        <v>0</v>
      </c>
    </row>
    <row r="76" spans="1:7" hidden="1">
      <c r="A76" s="76"/>
      <c r="B76" s="76" t="s">
        <v>546</v>
      </c>
      <c r="C76" s="76"/>
      <c r="D76" s="76"/>
      <c r="E76" s="97"/>
      <c r="F76" s="77"/>
      <c r="G76" s="86"/>
    </row>
    <row r="77" spans="1:7" hidden="1">
      <c r="A77" s="76"/>
      <c r="B77" s="103" t="s">
        <v>547</v>
      </c>
      <c r="C77" s="76"/>
      <c r="D77" s="76"/>
      <c r="E77" s="97"/>
      <c r="F77" s="77"/>
      <c r="G77" s="104"/>
    </row>
    <row r="78" spans="1:7" hidden="1">
      <c r="A78" s="76"/>
      <c r="B78" s="103" t="s">
        <v>536</v>
      </c>
      <c r="C78" s="76"/>
      <c r="D78" s="76"/>
      <c r="E78" s="97"/>
      <c r="F78" s="77"/>
      <c r="G78" s="84">
        <f>G76+G77</f>
        <v>0</v>
      </c>
    </row>
    <row r="79" spans="1:7" hidden="1">
      <c r="A79" s="76"/>
      <c r="B79" s="76" t="s">
        <v>268</v>
      </c>
      <c r="C79" s="76"/>
      <c r="D79" s="76"/>
      <c r="E79" s="97"/>
      <c r="F79" s="77"/>
      <c r="G79" s="86"/>
    </row>
    <row r="80" spans="1:7" hidden="1">
      <c r="A80" s="76"/>
      <c r="B80" s="103" t="s">
        <v>548</v>
      </c>
      <c r="C80" s="76"/>
      <c r="D80" s="76"/>
      <c r="E80" s="97"/>
      <c r="F80" s="77"/>
      <c r="G80" s="104"/>
    </row>
    <row r="81" spans="1:7" hidden="1">
      <c r="A81" s="76"/>
      <c r="B81" s="103" t="s">
        <v>536</v>
      </c>
      <c r="C81" s="76"/>
      <c r="D81" s="76"/>
      <c r="E81" s="97"/>
      <c r="F81" s="77"/>
      <c r="G81" s="84">
        <f>G79+G80</f>
        <v>0</v>
      </c>
    </row>
    <row r="82" spans="1:7" hidden="1">
      <c r="A82" s="76"/>
      <c r="B82" s="76" t="s">
        <v>549</v>
      </c>
      <c r="C82" s="76"/>
      <c r="D82" s="76"/>
      <c r="E82" s="97"/>
      <c r="F82" s="77"/>
      <c r="G82" s="86"/>
    </row>
    <row r="83" spans="1:7" hidden="1">
      <c r="A83" s="76"/>
      <c r="B83" s="103" t="s">
        <v>550</v>
      </c>
      <c r="C83" s="76"/>
      <c r="D83" s="76"/>
      <c r="E83" s="97"/>
      <c r="F83" s="77"/>
      <c r="G83" s="104"/>
    </row>
    <row r="84" spans="1:7" hidden="1">
      <c r="A84" s="76"/>
      <c r="B84" s="103" t="s">
        <v>536</v>
      </c>
      <c r="C84" s="76"/>
      <c r="D84" s="76"/>
      <c r="E84" s="97"/>
      <c r="F84" s="77"/>
      <c r="G84" s="84">
        <f>G82+G83</f>
        <v>0</v>
      </c>
    </row>
    <row r="85" spans="1:7" hidden="1">
      <c r="A85" s="76"/>
      <c r="B85" s="103"/>
      <c r="C85" s="76"/>
      <c r="D85" s="76"/>
      <c r="E85" s="97"/>
      <c r="F85" s="77"/>
      <c r="G85" s="86"/>
    </row>
    <row r="86" spans="1:7" hidden="1">
      <c r="A86" s="98" t="s">
        <v>551</v>
      </c>
      <c r="B86" s="103"/>
      <c r="C86" s="76"/>
      <c r="D86" s="76"/>
      <c r="E86" s="97"/>
      <c r="F86" s="77"/>
      <c r="G86" s="83">
        <f>G89</f>
        <v>0</v>
      </c>
    </row>
    <row r="87" spans="1:7" hidden="1">
      <c r="A87" s="76"/>
      <c r="B87" s="76" t="s">
        <v>284</v>
      </c>
      <c r="C87" s="76"/>
      <c r="D87" s="76"/>
      <c r="E87" s="97"/>
      <c r="F87" s="77"/>
      <c r="G87" s="86"/>
    </row>
    <row r="88" spans="1:7" hidden="1">
      <c r="A88" s="76"/>
      <c r="B88" s="103" t="s">
        <v>552</v>
      </c>
      <c r="C88" s="76"/>
      <c r="D88" s="76"/>
      <c r="E88" s="97"/>
      <c r="F88" s="77"/>
      <c r="G88" s="104"/>
    </row>
    <row r="89" spans="1:7" hidden="1">
      <c r="A89" s="76"/>
      <c r="B89" s="103" t="s">
        <v>536</v>
      </c>
      <c r="C89" s="76"/>
      <c r="D89" s="76"/>
      <c r="E89" s="97"/>
      <c r="F89" s="77"/>
      <c r="G89" s="84">
        <f>G87+G88</f>
        <v>0</v>
      </c>
    </row>
    <row r="90" spans="1:7" hidden="1">
      <c r="A90" s="76"/>
      <c r="B90" s="103"/>
      <c r="C90" s="76"/>
      <c r="D90" s="76"/>
      <c r="E90" s="97"/>
      <c r="F90" s="77"/>
      <c r="G90" s="86"/>
    </row>
    <row r="91" spans="1:7" hidden="1">
      <c r="A91" s="98" t="s">
        <v>553</v>
      </c>
      <c r="B91" s="103"/>
      <c r="C91" s="76"/>
      <c r="D91" s="76"/>
      <c r="E91" s="97"/>
      <c r="F91" s="77"/>
      <c r="G91" s="83">
        <f>G94</f>
        <v>0</v>
      </c>
    </row>
    <row r="92" spans="1:7" hidden="1">
      <c r="A92" s="76"/>
      <c r="B92" s="76" t="s">
        <v>554</v>
      </c>
      <c r="C92" s="76"/>
      <c r="D92" s="76"/>
      <c r="E92" s="97"/>
      <c r="F92" s="77"/>
      <c r="G92" s="86"/>
    </row>
    <row r="93" spans="1:7" hidden="1">
      <c r="A93" s="76"/>
      <c r="B93" s="103" t="s">
        <v>555</v>
      </c>
      <c r="C93" s="76"/>
      <c r="D93" s="76"/>
      <c r="E93" s="97"/>
      <c r="F93" s="77"/>
      <c r="G93" s="104"/>
    </row>
    <row r="94" spans="1:7" hidden="1">
      <c r="A94" s="76"/>
      <c r="B94" s="103" t="s">
        <v>536</v>
      </c>
      <c r="C94" s="76"/>
      <c r="D94" s="76"/>
      <c r="E94" s="97"/>
      <c r="F94" s="77"/>
      <c r="G94" s="83">
        <f>G92+G93</f>
        <v>0</v>
      </c>
    </row>
    <row r="95" spans="1:7" hidden="1">
      <c r="A95" s="76"/>
      <c r="B95" s="76"/>
      <c r="C95" s="76"/>
      <c r="D95" s="76"/>
      <c r="E95" s="97"/>
      <c r="F95" s="77"/>
      <c r="G95" s="86"/>
    </row>
    <row r="96" spans="1:7" hidden="1">
      <c r="A96" s="98" t="s">
        <v>556</v>
      </c>
      <c r="B96" s="76"/>
      <c r="C96" s="76"/>
      <c r="D96" s="76"/>
      <c r="E96" s="105"/>
      <c r="F96" s="77"/>
      <c r="G96" s="83">
        <f>G97</f>
        <v>0</v>
      </c>
    </row>
    <row r="97" spans="1:7" hidden="1">
      <c r="A97" s="76"/>
      <c r="B97" s="76" t="s">
        <v>557</v>
      </c>
      <c r="C97" s="76"/>
      <c r="D97" s="76"/>
      <c r="E97" s="105"/>
      <c r="F97" s="77"/>
      <c r="G97" s="86"/>
    </row>
    <row r="98" spans="1:7" hidden="1">
      <c r="A98" s="76"/>
      <c r="B98" s="76"/>
      <c r="C98" s="76"/>
      <c r="D98" s="76"/>
      <c r="E98" s="105"/>
      <c r="F98" s="77"/>
      <c r="G98" s="86"/>
    </row>
    <row r="99" spans="1:7" hidden="1">
      <c r="A99" s="98" t="s">
        <v>558</v>
      </c>
      <c r="B99" s="76"/>
      <c r="C99" s="76"/>
      <c r="D99" s="76"/>
      <c r="E99" s="105"/>
      <c r="F99" s="77"/>
      <c r="G99" s="83">
        <f>G102</f>
        <v>0</v>
      </c>
    </row>
    <row r="100" spans="1:7" hidden="1">
      <c r="A100" s="76"/>
      <c r="B100" s="76" t="s">
        <v>558</v>
      </c>
      <c r="C100" s="76"/>
      <c r="D100" s="76"/>
      <c r="E100" s="105"/>
      <c r="F100" s="77"/>
      <c r="G100" s="86"/>
    </row>
    <row r="101" spans="1:7" hidden="1">
      <c r="A101" s="76"/>
      <c r="B101" s="103" t="s">
        <v>559</v>
      </c>
      <c r="C101" s="76"/>
      <c r="D101" s="76"/>
      <c r="E101" s="105"/>
      <c r="F101" s="77"/>
      <c r="G101" s="104"/>
    </row>
    <row r="102" spans="1:7" hidden="1">
      <c r="A102" s="76"/>
      <c r="B102" s="103" t="s">
        <v>536</v>
      </c>
      <c r="C102" s="76"/>
      <c r="D102" s="76"/>
      <c r="E102" s="105"/>
      <c r="F102" s="77"/>
      <c r="G102" s="84">
        <f>G100+G101</f>
        <v>0</v>
      </c>
    </row>
    <row r="103" spans="1:7" hidden="1">
      <c r="A103" s="76"/>
      <c r="B103" s="76"/>
      <c r="C103" s="76"/>
      <c r="D103" s="76"/>
      <c r="E103" s="105"/>
      <c r="F103" s="77"/>
      <c r="G103" s="86"/>
    </row>
    <row r="104" spans="1:7" hidden="1">
      <c r="A104" s="95" t="s">
        <v>560</v>
      </c>
      <c r="B104" s="76"/>
      <c r="C104" s="76"/>
      <c r="D104" s="76"/>
      <c r="E104" s="105"/>
      <c r="F104" s="77"/>
      <c r="G104" s="96">
        <f>SUM(G105:G107)</f>
        <v>0</v>
      </c>
    </row>
    <row r="105" spans="1:7" hidden="1">
      <c r="A105" s="95"/>
      <c r="B105" s="76" t="s">
        <v>306</v>
      </c>
      <c r="C105" s="76"/>
      <c r="D105" s="76"/>
      <c r="E105" s="105"/>
      <c r="F105" s="77"/>
      <c r="G105" s="86"/>
    </row>
    <row r="106" spans="1:7" hidden="1">
      <c r="A106" s="95"/>
      <c r="B106" s="76" t="s">
        <v>307</v>
      </c>
      <c r="C106" s="76"/>
      <c r="D106" s="76"/>
      <c r="E106" s="105"/>
      <c r="F106" s="77"/>
      <c r="G106" s="86"/>
    </row>
    <row r="107" spans="1:7" hidden="1">
      <c r="A107" s="87"/>
      <c r="B107" s="76" t="s">
        <v>308</v>
      </c>
      <c r="C107" s="76"/>
      <c r="D107" s="76"/>
      <c r="E107" s="105"/>
      <c r="F107" s="77"/>
      <c r="G107" s="86"/>
    </row>
    <row r="108" spans="1:7" hidden="1">
      <c r="A108" s="76"/>
      <c r="B108" s="76"/>
      <c r="C108" s="76"/>
      <c r="D108" s="76"/>
      <c r="E108" s="105"/>
      <c r="F108" s="77"/>
      <c r="G108" s="86"/>
    </row>
    <row r="109" spans="1:7" hidden="1">
      <c r="A109" s="87" t="s">
        <v>561</v>
      </c>
      <c r="B109" s="76"/>
      <c r="C109" s="76"/>
      <c r="D109" s="76"/>
      <c r="E109" s="105"/>
      <c r="F109" s="77"/>
      <c r="G109" s="96">
        <f>G49+G104</f>
        <v>0</v>
      </c>
    </row>
    <row r="110" spans="1:7">
      <c r="B110" s="76"/>
      <c r="C110" s="76"/>
      <c r="D110" s="76"/>
      <c r="E110" s="105"/>
      <c r="F110" s="77"/>
      <c r="G110" s="86"/>
    </row>
    <row r="111" spans="1:7" ht="14.25" thickBot="1">
      <c r="A111" s="87" t="s">
        <v>562</v>
      </c>
      <c r="B111" s="76"/>
      <c r="C111" s="76"/>
      <c r="D111" s="76"/>
      <c r="E111" s="105"/>
      <c r="F111" s="77"/>
      <c r="G111" s="90">
        <f>G45+G109</f>
        <v>16019</v>
      </c>
    </row>
    <row r="112" spans="1:7" ht="14.25" hidden="1" thickTop="1">
      <c r="A112" s="76"/>
      <c r="B112" s="76"/>
      <c r="C112" s="76"/>
      <c r="D112" s="76"/>
      <c r="E112" s="105"/>
      <c r="F112" s="77"/>
      <c r="G112" s="86"/>
    </row>
    <row r="113" spans="1:7" ht="14.25" hidden="1" thickTop="1">
      <c r="A113" s="87"/>
      <c r="B113" s="76"/>
      <c r="C113" s="76"/>
      <c r="D113" s="76"/>
      <c r="E113" s="76"/>
      <c r="F113" s="76"/>
      <c r="G113" s="86"/>
    </row>
    <row r="114" spans="1:7" ht="14.25" hidden="1" thickTop="1">
      <c r="A114" s="87"/>
      <c r="B114" s="76"/>
      <c r="C114" s="76"/>
      <c r="D114" s="76"/>
      <c r="E114" s="76"/>
      <c r="F114" s="76"/>
      <c r="G114" s="86"/>
    </row>
    <row r="115" spans="1:7" ht="14.25" hidden="1" thickTop="1">
      <c r="A115" s="87"/>
      <c r="B115" s="76"/>
      <c r="C115" s="76"/>
      <c r="D115" s="76"/>
      <c r="E115" s="76"/>
      <c r="F115" s="76"/>
      <c r="G115" s="86"/>
    </row>
    <row r="116" spans="1:7" ht="14.25" hidden="1" thickTop="1">
      <c r="A116" s="87"/>
      <c r="B116" s="76"/>
      <c r="C116" s="76"/>
      <c r="D116" s="76"/>
      <c r="E116" s="76"/>
      <c r="F116" s="76"/>
      <c r="G116" s="86"/>
    </row>
    <row r="117" spans="1:7" ht="14.25" hidden="1" thickTop="1">
      <c r="A117" s="87"/>
      <c r="B117" s="76"/>
      <c r="C117" s="76"/>
      <c r="D117" s="76"/>
      <c r="E117" s="76"/>
      <c r="F117" s="76"/>
      <c r="G117" s="86"/>
    </row>
    <row r="118" spans="1:7" ht="14.25" hidden="1" thickTop="1">
      <c r="A118" s="87"/>
      <c r="B118" s="76"/>
      <c r="C118" s="76"/>
      <c r="D118" s="76"/>
      <c r="E118" s="76"/>
      <c r="F118" s="76"/>
      <c r="G118" s="86"/>
    </row>
    <row r="119" spans="1:7" ht="14.25" hidden="1" thickTop="1">
      <c r="A119" s="87"/>
      <c r="B119" s="76"/>
      <c r="C119" s="76"/>
      <c r="D119" s="76"/>
      <c r="E119" s="76"/>
      <c r="F119" s="76"/>
      <c r="G119" s="86"/>
    </row>
    <row r="120" spans="1:7" ht="14.25" hidden="1" thickTop="1">
      <c r="A120" s="87"/>
      <c r="B120" s="76"/>
      <c r="C120" s="76"/>
      <c r="D120" s="76"/>
      <c r="E120" s="76"/>
      <c r="F120" s="76"/>
      <c r="G120" s="86"/>
    </row>
    <row r="121" spans="1:7" hidden="1" thickTop="1">
      <c r="A121" s="323" t="s">
        <v>512</v>
      </c>
      <c r="B121" s="323"/>
      <c r="C121" s="323"/>
      <c r="D121" s="323"/>
      <c r="E121" s="323"/>
      <c r="F121" s="323"/>
      <c r="G121" s="323"/>
    </row>
    <row r="122" spans="1:7" hidden="1" thickTop="1">
      <c r="A122" s="323" t="s">
        <v>539</v>
      </c>
      <c r="B122" s="323"/>
      <c r="C122" s="323"/>
      <c r="D122" s="323"/>
      <c r="E122" s="323"/>
      <c r="F122" s="323"/>
      <c r="G122" s="323"/>
    </row>
    <row r="123" spans="1:7" hidden="1" thickTop="1">
      <c r="A123" s="323" t="s">
        <v>540</v>
      </c>
      <c r="B123" s="323"/>
      <c r="C123" s="323"/>
      <c r="D123" s="323"/>
      <c r="E123" s="323"/>
      <c r="F123" s="323"/>
      <c r="G123" s="323"/>
    </row>
    <row r="124" spans="1:7" hidden="1" thickTop="1">
      <c r="A124" s="322" t="s">
        <v>8</v>
      </c>
      <c r="B124" s="322"/>
      <c r="C124" s="322"/>
      <c r="D124" s="322"/>
      <c r="E124" s="322"/>
      <c r="F124" s="322"/>
      <c r="G124" s="322"/>
    </row>
    <row r="125" spans="1:7" ht="14.25" hidden="1" thickTop="1">
      <c r="A125" s="87"/>
      <c r="B125" s="76"/>
      <c r="C125" s="76"/>
      <c r="D125" s="76"/>
      <c r="E125" s="76"/>
      <c r="F125" s="76"/>
      <c r="G125" s="86"/>
    </row>
    <row r="126" spans="1:7" ht="14.25" thickTop="1">
      <c r="A126" s="87"/>
      <c r="B126" s="76"/>
      <c r="C126" s="76"/>
      <c r="D126" s="76"/>
      <c r="E126" s="76"/>
      <c r="F126" s="76"/>
      <c r="G126" s="86"/>
    </row>
    <row r="127" spans="1:7">
      <c r="A127" s="87" t="s">
        <v>563</v>
      </c>
      <c r="B127" s="76"/>
      <c r="C127" s="76"/>
      <c r="D127" s="76"/>
      <c r="E127" s="76"/>
      <c r="F127" s="76"/>
      <c r="G127" s="86"/>
    </row>
    <row r="128" spans="1:7">
      <c r="A128" s="87"/>
      <c r="B128" s="76"/>
      <c r="C128" s="76"/>
      <c r="D128" s="76"/>
      <c r="E128" s="76"/>
      <c r="F128" s="76"/>
      <c r="G128" s="86"/>
    </row>
    <row r="129" spans="1:7">
      <c r="A129" s="87" t="s">
        <v>564</v>
      </c>
      <c r="B129" s="76"/>
      <c r="C129" s="76"/>
      <c r="D129" s="76"/>
      <c r="E129" s="76"/>
      <c r="F129" s="76"/>
      <c r="G129" s="86"/>
    </row>
    <row r="130" spans="1:7" hidden="1">
      <c r="A130" s="87"/>
      <c r="B130" s="76"/>
      <c r="C130" s="76"/>
      <c r="D130" s="76"/>
      <c r="E130" s="76"/>
      <c r="F130" s="76"/>
      <c r="G130" s="86"/>
    </row>
    <row r="131" spans="1:7" hidden="1">
      <c r="A131" s="87" t="s">
        <v>565</v>
      </c>
      <c r="B131" s="76"/>
      <c r="C131" s="76"/>
      <c r="D131" s="76"/>
      <c r="E131" s="76"/>
      <c r="F131" s="76"/>
      <c r="G131" s="86"/>
    </row>
    <row r="132" spans="1:7" hidden="1">
      <c r="A132" s="87"/>
      <c r="B132" s="76"/>
      <c r="C132" s="76"/>
      <c r="D132" s="76"/>
      <c r="E132" s="76"/>
      <c r="F132" s="76"/>
      <c r="G132" s="86"/>
    </row>
    <row r="133" spans="1:7" hidden="1">
      <c r="A133" s="87" t="s">
        <v>566</v>
      </c>
      <c r="B133" s="76"/>
      <c r="C133" s="76"/>
      <c r="D133" s="76"/>
      <c r="E133" s="76"/>
      <c r="F133" s="76"/>
      <c r="G133" s="96">
        <f>G134+G137</f>
        <v>0</v>
      </c>
    </row>
    <row r="134" spans="1:7" hidden="1">
      <c r="A134" s="98" t="s">
        <v>567</v>
      </c>
      <c r="B134" s="76"/>
      <c r="C134" s="76"/>
      <c r="D134" s="76"/>
      <c r="E134" s="76"/>
      <c r="F134" s="76"/>
      <c r="G134" s="83">
        <f>G135</f>
        <v>0</v>
      </c>
    </row>
    <row r="135" spans="1:7" hidden="1">
      <c r="A135" s="76"/>
      <c r="B135" s="76" t="s">
        <v>309</v>
      </c>
      <c r="C135" s="76"/>
      <c r="D135" s="76"/>
      <c r="E135" s="76"/>
      <c r="F135" s="76"/>
      <c r="G135" s="79"/>
    </row>
    <row r="136" spans="1:7" hidden="1">
      <c r="A136" s="76"/>
      <c r="B136" s="76"/>
      <c r="C136" s="76"/>
      <c r="D136" s="76"/>
      <c r="E136" s="76"/>
      <c r="F136" s="76"/>
      <c r="G136" s="79"/>
    </row>
    <row r="137" spans="1:7" hidden="1">
      <c r="A137" s="98" t="s">
        <v>568</v>
      </c>
      <c r="B137" s="76"/>
      <c r="C137" s="76"/>
      <c r="D137" s="76"/>
      <c r="E137" s="76"/>
      <c r="F137" s="76"/>
      <c r="G137" s="80">
        <f>G138</f>
        <v>0</v>
      </c>
    </row>
    <row r="138" spans="1:7" hidden="1">
      <c r="A138" s="98"/>
      <c r="B138" s="76" t="s">
        <v>318</v>
      </c>
      <c r="C138" s="76"/>
      <c r="D138" s="76"/>
      <c r="E138" s="76"/>
      <c r="F138" s="76"/>
      <c r="G138" s="79"/>
    </row>
    <row r="139" spans="1:7" hidden="1">
      <c r="A139" s="98"/>
      <c r="B139" s="76"/>
      <c r="C139" s="76"/>
      <c r="D139" s="76"/>
      <c r="E139" s="76"/>
      <c r="F139" s="76"/>
      <c r="G139" s="79"/>
    </row>
    <row r="140" spans="1:7" hidden="1">
      <c r="A140" s="87" t="s">
        <v>569</v>
      </c>
      <c r="B140" s="76"/>
      <c r="C140" s="76"/>
      <c r="D140" s="76"/>
      <c r="E140" s="76"/>
      <c r="F140" s="76"/>
      <c r="G140" s="99">
        <f>SUM(G141:G145)</f>
        <v>0</v>
      </c>
    </row>
    <row r="141" spans="1:7" hidden="1">
      <c r="A141" s="76" t="s">
        <v>570</v>
      </c>
      <c r="B141" s="76"/>
      <c r="C141" s="76"/>
      <c r="D141" s="76"/>
      <c r="E141" s="76"/>
      <c r="F141" s="76"/>
      <c r="G141" s="79"/>
    </row>
    <row r="142" spans="1:7" hidden="1">
      <c r="A142" s="76" t="s">
        <v>571</v>
      </c>
      <c r="B142" s="76"/>
      <c r="C142" s="76"/>
      <c r="D142" s="76"/>
      <c r="E142" s="76"/>
      <c r="F142" s="76"/>
      <c r="G142" s="79"/>
    </row>
    <row r="143" spans="1:7" hidden="1">
      <c r="A143" s="76" t="s">
        <v>572</v>
      </c>
      <c r="B143" s="76"/>
      <c r="C143" s="76"/>
      <c r="D143" s="76"/>
      <c r="E143" s="76"/>
      <c r="F143" s="76"/>
      <c r="G143" s="79"/>
    </row>
    <row r="144" spans="1:7" hidden="1">
      <c r="A144" s="76" t="s">
        <v>572</v>
      </c>
      <c r="B144" s="76"/>
      <c r="C144" s="76"/>
      <c r="D144" s="76"/>
      <c r="E144" s="76"/>
      <c r="F144" s="76"/>
      <c r="G144" s="79"/>
    </row>
    <row r="145" spans="1:7" hidden="1">
      <c r="A145" s="76" t="s">
        <v>573</v>
      </c>
      <c r="B145" s="76"/>
      <c r="C145" s="76"/>
      <c r="D145" s="76"/>
      <c r="E145" s="76"/>
      <c r="F145" s="76"/>
      <c r="G145" s="79"/>
    </row>
    <row r="146" spans="1:7" hidden="1">
      <c r="A146" s="76"/>
      <c r="B146" s="76"/>
      <c r="C146" s="76"/>
      <c r="D146" s="76"/>
      <c r="E146" s="76"/>
      <c r="F146" s="76"/>
      <c r="G146" s="79"/>
    </row>
    <row r="147" spans="1:7" hidden="1">
      <c r="A147" s="87" t="s">
        <v>574</v>
      </c>
      <c r="B147" s="76"/>
      <c r="C147" s="76"/>
      <c r="D147" s="76"/>
      <c r="E147" s="76"/>
      <c r="F147" s="76"/>
      <c r="G147" s="99">
        <f>G148</f>
        <v>0</v>
      </c>
    </row>
    <row r="148" spans="1:7" hidden="1">
      <c r="A148" s="76" t="s">
        <v>575</v>
      </c>
      <c r="B148" s="76"/>
      <c r="C148" s="76"/>
      <c r="D148" s="76"/>
      <c r="E148" s="76"/>
      <c r="F148" s="76"/>
      <c r="G148" s="79"/>
    </row>
    <row r="149" spans="1:7" hidden="1">
      <c r="A149" s="87"/>
      <c r="B149" s="76"/>
      <c r="C149" s="76"/>
      <c r="D149" s="76"/>
      <c r="E149" s="76"/>
      <c r="F149" s="76"/>
      <c r="G149" s="79"/>
    </row>
    <row r="150" spans="1:7" hidden="1">
      <c r="A150" s="87" t="s">
        <v>576</v>
      </c>
      <c r="B150" s="76"/>
      <c r="C150" s="76"/>
      <c r="D150" s="76"/>
      <c r="E150" s="76"/>
      <c r="F150" s="76"/>
      <c r="G150" s="99">
        <f>G133+G140+G147</f>
        <v>0</v>
      </c>
    </row>
    <row r="151" spans="1:7">
      <c r="B151" s="76"/>
      <c r="C151" s="86"/>
      <c r="D151" s="76"/>
      <c r="E151" s="76"/>
      <c r="F151" s="76"/>
      <c r="G151" s="79"/>
    </row>
    <row r="152" spans="1:7">
      <c r="A152" s="87" t="s">
        <v>577</v>
      </c>
      <c r="B152" s="76"/>
      <c r="C152" s="76"/>
      <c r="D152" s="76"/>
      <c r="E152" s="76"/>
      <c r="F152" s="76"/>
      <c r="G152" s="99">
        <f>G150</f>
        <v>0</v>
      </c>
    </row>
    <row r="153" spans="1:7">
      <c r="A153" s="87"/>
      <c r="B153" s="76"/>
      <c r="C153" s="76"/>
      <c r="D153" s="76"/>
      <c r="E153" s="76"/>
      <c r="F153" s="76"/>
      <c r="G153" s="86"/>
    </row>
    <row r="154" spans="1:7">
      <c r="A154" s="87"/>
      <c r="B154" s="76"/>
      <c r="C154" s="76"/>
      <c r="D154" s="76"/>
      <c r="E154" s="76"/>
      <c r="F154" s="76"/>
      <c r="G154" s="86"/>
    </row>
    <row r="155" spans="1:7">
      <c r="A155" s="87" t="s">
        <v>578</v>
      </c>
      <c r="B155" s="76"/>
      <c r="C155" s="76"/>
      <c r="D155" s="76"/>
      <c r="E155" s="94"/>
      <c r="F155" s="76"/>
      <c r="G155" s="86"/>
    </row>
    <row r="156" spans="1:7">
      <c r="A156" s="87"/>
      <c r="B156" s="76"/>
      <c r="C156" s="76"/>
      <c r="D156" s="76"/>
      <c r="E156" s="94"/>
      <c r="F156" s="76"/>
      <c r="G156" s="86"/>
    </row>
    <row r="157" spans="1:7">
      <c r="A157" s="87" t="s">
        <v>579</v>
      </c>
      <c r="B157" s="76"/>
      <c r="C157" s="76"/>
      <c r="D157" s="76"/>
      <c r="E157" s="76"/>
      <c r="F157" s="76"/>
      <c r="G157" s="96">
        <f>G158</f>
        <v>16019</v>
      </c>
    </row>
    <row r="158" spans="1:7">
      <c r="A158" s="76" t="s">
        <v>580</v>
      </c>
      <c r="B158" s="76" t="s">
        <v>581</v>
      </c>
      <c r="C158" s="76"/>
      <c r="D158" s="76"/>
      <c r="E158" s="76"/>
      <c r="F158" s="76"/>
      <c r="G158" s="85">
        <f>16019</f>
        <v>16019</v>
      </c>
    </row>
    <row r="159" spans="1:7">
      <c r="G159" s="82"/>
    </row>
    <row r="160" spans="1:7">
      <c r="A160" s="87" t="s">
        <v>582</v>
      </c>
      <c r="G160" s="80">
        <f>G157</f>
        <v>16019</v>
      </c>
    </row>
    <row r="162" spans="1:7" ht="14.25" thickBot="1">
      <c r="A162" s="87" t="s">
        <v>583</v>
      </c>
      <c r="D162" s="109"/>
      <c r="G162" s="110">
        <f>G157+G152</f>
        <v>16019</v>
      </c>
    </row>
    <row r="163" spans="1:7" ht="14.25" thickTop="1">
      <c r="A163" s="87"/>
      <c r="D163" s="109"/>
      <c r="G163" s="111"/>
    </row>
    <row r="164" spans="1:7">
      <c r="A164" s="87"/>
      <c r="D164" s="109"/>
      <c r="G164" s="111"/>
    </row>
    <row r="165" spans="1:7">
      <c r="A165" s="87"/>
      <c r="D165" s="109"/>
      <c r="G165" s="112"/>
    </row>
    <row r="166" spans="1:7">
      <c r="A166" s="87"/>
      <c r="D166" s="109"/>
      <c r="G166" s="112"/>
    </row>
    <row r="167" spans="1:7">
      <c r="A167" s="87"/>
      <c r="D167" s="109"/>
      <c r="G167" s="112"/>
    </row>
    <row r="168" spans="1:7">
      <c r="A168" s="87"/>
      <c r="D168" s="109"/>
      <c r="G168" s="112"/>
    </row>
    <row r="169" spans="1:7" ht="12.75">
      <c r="A169" s="113"/>
      <c r="G169" s="114" t="s">
        <v>506</v>
      </c>
    </row>
    <row r="170" spans="1:7" ht="12.75">
      <c r="G170" s="114"/>
    </row>
    <row r="171" spans="1:7" ht="12.75">
      <c r="G171" s="115" t="s">
        <v>507</v>
      </c>
    </row>
    <row r="172" spans="1:7" ht="12.75">
      <c r="A172" s="116"/>
      <c r="B172" s="116"/>
      <c r="C172" s="116"/>
      <c r="D172" s="116"/>
      <c r="E172" s="116"/>
      <c r="F172" s="116"/>
      <c r="G172" s="117" t="s">
        <v>508</v>
      </c>
    </row>
    <row r="173" spans="1:7">
      <c r="A173" s="106"/>
      <c r="B173" s="106"/>
      <c r="C173" s="106"/>
      <c r="D173" s="106"/>
      <c r="E173" s="106"/>
      <c r="F173" s="106"/>
      <c r="G173" s="82"/>
    </row>
    <row r="174" spans="1:7">
      <c r="A174" s="78"/>
      <c r="B174" s="77"/>
      <c r="C174" s="77"/>
      <c r="D174" s="77"/>
      <c r="E174" s="77"/>
      <c r="F174" s="77"/>
      <c r="G174" s="82"/>
    </row>
    <row r="175" spans="1:7">
      <c r="A175" s="77"/>
      <c r="B175" s="77"/>
      <c r="C175" s="77"/>
      <c r="D175" s="77"/>
      <c r="E175" s="77"/>
      <c r="F175" s="77"/>
      <c r="G175" s="82"/>
    </row>
    <row r="176" spans="1:7">
      <c r="A176" s="78"/>
      <c r="B176" s="77"/>
      <c r="C176" s="77"/>
      <c r="D176" s="77"/>
      <c r="E176" s="77"/>
      <c r="F176" s="77"/>
      <c r="G176" s="82"/>
    </row>
    <row r="177" spans="1:7">
      <c r="A177" s="77"/>
      <c r="B177" s="77"/>
      <c r="C177" s="77"/>
      <c r="D177" s="77"/>
      <c r="E177" s="77"/>
      <c r="F177" s="77"/>
      <c r="G177" s="86"/>
    </row>
    <row r="178" spans="1:7">
      <c r="A178" s="77"/>
      <c r="B178" s="77"/>
      <c r="C178" s="77"/>
      <c r="D178" s="77"/>
      <c r="E178" s="77"/>
      <c r="F178" s="77"/>
      <c r="G178" s="86"/>
    </row>
    <row r="179" spans="1:7">
      <c r="A179" s="77"/>
      <c r="B179" s="77"/>
      <c r="C179" s="77"/>
      <c r="D179" s="77"/>
      <c r="E179" s="77"/>
      <c r="F179" s="77"/>
      <c r="G179" s="86"/>
    </row>
    <row r="180" spans="1:7">
      <c r="A180" s="77"/>
      <c r="B180" s="77"/>
      <c r="C180" s="77"/>
      <c r="D180" s="77"/>
      <c r="E180" s="77"/>
      <c r="F180" s="77"/>
      <c r="G180" s="86"/>
    </row>
    <row r="181" spans="1:7">
      <c r="A181" s="77"/>
      <c r="B181" s="77"/>
      <c r="C181" s="77"/>
      <c r="D181" s="77"/>
      <c r="E181" s="77"/>
      <c r="F181" s="77"/>
      <c r="G181" s="86"/>
    </row>
    <row r="182" spans="1:7">
      <c r="A182" s="77"/>
      <c r="B182" s="77"/>
      <c r="C182" s="77"/>
      <c r="D182" s="77"/>
      <c r="E182" s="77"/>
      <c r="F182" s="77"/>
      <c r="G182" s="86"/>
    </row>
    <row r="183" spans="1:7">
      <c r="A183" s="77"/>
      <c r="B183" s="77"/>
      <c r="C183" s="77"/>
      <c r="D183" s="77"/>
      <c r="E183" s="77"/>
      <c r="F183" s="77"/>
      <c r="G183" s="86"/>
    </row>
    <row r="184" spans="1:7">
      <c r="A184" s="77"/>
      <c r="B184" s="77"/>
      <c r="C184" s="77"/>
      <c r="D184" s="77"/>
      <c r="E184" s="77"/>
      <c r="F184" s="77"/>
      <c r="G184" s="86"/>
    </row>
    <row r="185" spans="1:7">
      <c r="A185" s="77"/>
      <c r="B185" s="77"/>
      <c r="C185" s="77"/>
      <c r="D185" s="77"/>
      <c r="E185" s="77"/>
      <c r="F185" s="77"/>
      <c r="G185" s="86"/>
    </row>
    <row r="186" spans="1:7">
      <c r="A186" s="77"/>
      <c r="B186" s="77"/>
      <c r="C186" s="77"/>
      <c r="D186" s="77"/>
      <c r="E186" s="77"/>
      <c r="F186" s="77"/>
      <c r="G186" s="86"/>
    </row>
    <row r="187" spans="1:7">
      <c r="A187" s="77"/>
      <c r="B187" s="77"/>
      <c r="C187" s="77"/>
      <c r="D187" s="77"/>
      <c r="E187" s="77"/>
      <c r="F187" s="77"/>
      <c r="G187" s="86"/>
    </row>
    <row r="188" spans="1:7">
      <c r="A188" s="77"/>
      <c r="B188" s="77"/>
      <c r="C188" s="77"/>
      <c r="D188" s="77"/>
      <c r="E188" s="77"/>
      <c r="F188" s="77"/>
      <c r="G188" s="86"/>
    </row>
    <row r="189" spans="1:7">
      <c r="A189" s="77"/>
      <c r="B189" s="77"/>
      <c r="C189" s="77"/>
      <c r="D189" s="77"/>
      <c r="E189" s="77"/>
      <c r="F189" s="77"/>
      <c r="G189" s="86"/>
    </row>
    <row r="190" spans="1:7">
      <c r="A190" s="77"/>
      <c r="B190" s="77"/>
      <c r="C190" s="77"/>
      <c r="D190" s="77"/>
      <c r="E190" s="77"/>
      <c r="F190" s="77"/>
      <c r="G190" s="86"/>
    </row>
    <row r="191" spans="1:7">
      <c r="A191" s="77"/>
      <c r="B191" s="77"/>
      <c r="C191" s="77"/>
      <c r="D191" s="77"/>
      <c r="E191" s="77"/>
      <c r="F191" s="77"/>
      <c r="G191" s="86"/>
    </row>
    <row r="192" spans="1:7">
      <c r="A192" s="77"/>
      <c r="B192" s="77"/>
      <c r="C192" s="77"/>
      <c r="D192" s="77"/>
      <c r="E192" s="77"/>
      <c r="F192" s="77"/>
      <c r="G192" s="86"/>
    </row>
    <row r="193" spans="1:7">
      <c r="A193" s="77"/>
      <c r="B193" s="77"/>
      <c r="C193" s="77"/>
      <c r="D193" s="77"/>
      <c r="E193" s="77"/>
      <c r="F193" s="77"/>
      <c r="G193" s="86"/>
    </row>
    <row r="194" spans="1:7">
      <c r="A194" s="78"/>
      <c r="B194" s="78"/>
      <c r="C194" s="77"/>
      <c r="D194" s="77"/>
      <c r="E194" s="77"/>
      <c r="F194" s="77"/>
      <c r="G194" s="86"/>
    </row>
    <row r="195" spans="1:7">
      <c r="A195" s="77"/>
      <c r="B195" s="77"/>
      <c r="C195" s="77"/>
      <c r="D195" s="77"/>
      <c r="E195" s="77"/>
      <c r="F195" s="77"/>
      <c r="G195" s="86"/>
    </row>
    <row r="196" spans="1:7">
      <c r="A196" s="77"/>
      <c r="B196" s="77"/>
      <c r="C196" s="77"/>
      <c r="D196" s="77"/>
      <c r="E196" s="97"/>
      <c r="F196" s="77"/>
      <c r="G196" s="86"/>
    </row>
    <row r="197" spans="1:7">
      <c r="A197" s="77"/>
      <c r="B197" s="77"/>
      <c r="C197" s="77"/>
      <c r="D197" s="77"/>
      <c r="E197" s="77"/>
      <c r="F197" s="77"/>
      <c r="G197" s="86"/>
    </row>
    <row r="198" spans="1:7">
      <c r="A198" s="77"/>
      <c r="B198" s="77"/>
      <c r="C198" s="77"/>
      <c r="D198" s="77"/>
      <c r="E198" s="77"/>
      <c r="F198" s="77"/>
      <c r="G198" s="86"/>
    </row>
    <row r="199" spans="1:7">
      <c r="A199" s="77"/>
      <c r="B199" s="77"/>
      <c r="C199" s="77"/>
      <c r="D199" s="77"/>
      <c r="E199" s="97"/>
      <c r="F199" s="77"/>
      <c r="G199" s="86"/>
    </row>
    <row r="200" spans="1:7">
      <c r="A200" s="77"/>
      <c r="B200" s="77"/>
      <c r="C200" s="77"/>
      <c r="D200" s="77"/>
      <c r="E200" s="97"/>
      <c r="F200" s="77"/>
      <c r="G200" s="86"/>
    </row>
    <row r="201" spans="1:7">
      <c r="A201" s="77"/>
      <c r="B201" s="77"/>
      <c r="C201" s="77"/>
      <c r="D201" s="77"/>
      <c r="E201" s="77"/>
      <c r="F201" s="77"/>
      <c r="G201" s="86"/>
    </row>
    <row r="202" spans="1:7">
      <c r="A202" s="77"/>
      <c r="B202" s="77"/>
      <c r="C202" s="77"/>
      <c r="D202" s="77"/>
      <c r="E202" s="97"/>
      <c r="F202" s="77"/>
      <c r="G202" s="82"/>
    </row>
    <row r="203" spans="1:7">
      <c r="A203" s="77"/>
      <c r="B203" s="77"/>
      <c r="C203" s="77"/>
      <c r="D203" s="77"/>
      <c r="E203" s="97"/>
      <c r="F203" s="77"/>
      <c r="G203" s="86"/>
    </row>
    <row r="204" spans="1:7">
      <c r="A204" s="77"/>
      <c r="B204" s="77"/>
      <c r="C204" s="77"/>
      <c r="D204" s="77"/>
      <c r="E204" s="97"/>
      <c r="F204" s="77"/>
      <c r="G204" s="82"/>
    </row>
    <row r="205" spans="1:7">
      <c r="A205" s="77"/>
      <c r="B205" s="77"/>
      <c r="C205" s="77"/>
      <c r="D205" s="77"/>
      <c r="E205" s="97"/>
      <c r="F205" s="77"/>
      <c r="G205" s="86"/>
    </row>
    <row r="206" spans="1:7">
      <c r="A206" s="77"/>
      <c r="B206" s="77"/>
      <c r="C206" s="77"/>
      <c r="D206" s="77"/>
      <c r="E206" s="77"/>
      <c r="F206" s="77"/>
      <c r="G206" s="86"/>
    </row>
    <row r="207" spans="1:7">
      <c r="A207" s="77"/>
      <c r="B207" s="77"/>
      <c r="C207" s="77"/>
      <c r="D207" s="77"/>
      <c r="E207" s="97"/>
      <c r="F207" s="77"/>
      <c r="G207" s="82"/>
    </row>
    <row r="208" spans="1:7">
      <c r="A208" s="77"/>
      <c r="B208" s="77"/>
      <c r="C208" s="77"/>
      <c r="D208" s="77"/>
      <c r="E208" s="97"/>
      <c r="F208" s="77"/>
      <c r="G208" s="86"/>
    </row>
    <row r="209" spans="1:7">
      <c r="A209" s="77"/>
      <c r="B209" s="77"/>
      <c r="C209" s="77"/>
      <c r="D209" s="77"/>
      <c r="E209" s="77"/>
      <c r="F209" s="77"/>
      <c r="G209" s="86"/>
    </row>
    <row r="210" spans="1:7">
      <c r="A210" s="77"/>
      <c r="B210" s="77"/>
      <c r="C210" s="77"/>
      <c r="D210" s="77"/>
      <c r="E210" s="77"/>
      <c r="F210" s="77"/>
      <c r="G210" s="86"/>
    </row>
    <row r="211" spans="1:7">
      <c r="A211" s="78"/>
      <c r="B211" s="77"/>
      <c r="C211" s="77"/>
      <c r="D211" s="77"/>
      <c r="E211" s="77"/>
      <c r="F211" s="77"/>
      <c r="G211" s="86"/>
    </row>
    <row r="212" spans="1:7">
      <c r="A212" s="78"/>
      <c r="B212" s="77"/>
      <c r="C212" s="77"/>
      <c r="D212" s="77"/>
      <c r="E212" s="77"/>
      <c r="F212" s="77"/>
      <c r="G212" s="86"/>
    </row>
    <row r="213" spans="1:7">
      <c r="A213" s="78"/>
      <c r="B213" s="77"/>
      <c r="C213" s="77"/>
      <c r="D213" s="77"/>
      <c r="E213" s="77"/>
      <c r="F213" s="77"/>
      <c r="G213" s="86"/>
    </row>
    <row r="214" spans="1:7">
      <c r="A214" s="77"/>
      <c r="B214" s="77"/>
      <c r="C214" s="77"/>
      <c r="D214" s="77"/>
      <c r="E214" s="77"/>
      <c r="F214" s="77"/>
      <c r="G214" s="86"/>
    </row>
    <row r="215" spans="1:7">
      <c r="A215" s="77"/>
      <c r="B215" s="77"/>
      <c r="C215" s="77"/>
      <c r="D215" s="77"/>
      <c r="E215" s="77"/>
      <c r="F215" s="77"/>
      <c r="G215" s="86"/>
    </row>
    <row r="216" spans="1:7">
      <c r="A216" s="77"/>
      <c r="B216" s="77"/>
      <c r="C216" s="77"/>
      <c r="D216" s="77"/>
      <c r="E216" s="77"/>
      <c r="F216" s="77"/>
      <c r="G216" s="86"/>
    </row>
    <row r="217" spans="1:7">
      <c r="A217" s="77"/>
      <c r="B217" s="77"/>
      <c r="C217" s="77"/>
      <c r="D217" s="77"/>
      <c r="E217" s="77"/>
      <c r="F217" s="77"/>
      <c r="G217" s="86"/>
    </row>
    <row r="218" spans="1:7">
      <c r="A218" s="77"/>
      <c r="B218" s="77"/>
      <c r="C218" s="77"/>
      <c r="D218" s="77"/>
      <c r="E218" s="77"/>
      <c r="F218" s="77"/>
      <c r="G218" s="86"/>
    </row>
    <row r="219" spans="1:7">
      <c r="A219" s="77"/>
      <c r="B219" s="77"/>
      <c r="C219" s="77"/>
      <c r="D219" s="77"/>
      <c r="E219" s="77"/>
      <c r="F219" s="77"/>
      <c r="G219" s="86"/>
    </row>
    <row r="220" spans="1:7">
      <c r="A220" s="77"/>
      <c r="B220" s="77"/>
      <c r="C220" s="77"/>
      <c r="D220" s="77"/>
      <c r="E220" s="77"/>
      <c r="F220" s="77"/>
      <c r="G220" s="86"/>
    </row>
    <row r="221" spans="1:7">
      <c r="A221" s="77"/>
      <c r="B221" s="77"/>
      <c r="C221" s="77"/>
      <c r="D221" s="77"/>
      <c r="E221" s="77"/>
      <c r="F221" s="77"/>
      <c r="G221" s="86"/>
    </row>
    <row r="222" spans="1:7">
      <c r="A222" s="77"/>
      <c r="B222" s="77"/>
      <c r="C222" s="77"/>
      <c r="D222" s="77"/>
      <c r="E222" s="77"/>
      <c r="F222" s="77"/>
      <c r="G222" s="86"/>
    </row>
    <row r="223" spans="1:7">
      <c r="A223" s="77"/>
      <c r="B223" s="77"/>
      <c r="C223" s="77"/>
      <c r="D223" s="77"/>
      <c r="E223" s="77"/>
      <c r="F223" s="77"/>
      <c r="G223" s="86"/>
    </row>
    <row r="224" spans="1:7">
      <c r="A224" s="77"/>
      <c r="B224" s="77"/>
      <c r="C224" s="77"/>
      <c r="D224" s="77"/>
      <c r="E224" s="77"/>
      <c r="F224" s="77"/>
      <c r="G224" s="86"/>
    </row>
    <row r="225" spans="1:7">
      <c r="A225" s="78"/>
      <c r="B225" s="77"/>
      <c r="C225" s="77"/>
      <c r="D225" s="77"/>
      <c r="E225" s="77"/>
      <c r="F225" s="77"/>
      <c r="G225" s="86"/>
    </row>
    <row r="226" spans="1:7">
      <c r="A226" s="77"/>
      <c r="B226" s="77"/>
      <c r="C226" s="77"/>
      <c r="D226" s="77"/>
      <c r="E226" s="77"/>
      <c r="F226" s="77"/>
      <c r="G226" s="86"/>
    </row>
    <row r="227" spans="1:7">
      <c r="A227" s="77"/>
      <c r="B227" s="77"/>
      <c r="C227" s="77"/>
      <c r="D227" s="77"/>
      <c r="E227" s="77"/>
      <c r="F227" s="77"/>
      <c r="G227" s="86"/>
    </row>
    <row r="228" spans="1:7">
      <c r="A228" s="77"/>
      <c r="B228" s="77"/>
      <c r="C228" s="77"/>
      <c r="D228" s="77"/>
      <c r="E228" s="77"/>
      <c r="F228" s="77"/>
      <c r="G228" s="86"/>
    </row>
    <row r="229" spans="1:7">
      <c r="A229" s="106"/>
      <c r="B229" s="106"/>
      <c r="C229" s="106"/>
      <c r="D229" s="106"/>
      <c r="E229" s="106"/>
      <c r="F229" s="106"/>
      <c r="G229" s="82"/>
    </row>
    <row r="230" spans="1:7">
      <c r="A230" s="106"/>
      <c r="B230" s="106"/>
      <c r="C230" s="106"/>
      <c r="D230" s="106"/>
      <c r="E230" s="106"/>
      <c r="F230" s="106"/>
      <c r="G230" s="82"/>
    </row>
    <row r="231" spans="1:7" ht="15.75" customHeight="1">
      <c r="A231" s="106"/>
      <c r="B231" s="106"/>
      <c r="C231" s="106"/>
      <c r="D231" s="106"/>
      <c r="E231" s="106"/>
      <c r="F231" s="106"/>
      <c r="G231" s="82"/>
    </row>
    <row r="232" spans="1:7" ht="9.75" customHeight="1">
      <c r="A232" s="118"/>
      <c r="B232" s="106"/>
      <c r="C232" s="106"/>
      <c r="D232" s="106"/>
      <c r="E232" s="106"/>
      <c r="F232" s="106"/>
      <c r="G232" s="119"/>
    </row>
    <row r="233" spans="1:7" ht="8.25" customHeight="1">
      <c r="A233" s="118"/>
      <c r="B233" s="106"/>
      <c r="C233" s="106"/>
      <c r="D233" s="106"/>
      <c r="E233" s="106"/>
      <c r="F233" s="106"/>
      <c r="G233" s="82"/>
    </row>
    <row r="234" spans="1:7">
      <c r="A234" s="106"/>
      <c r="B234" s="106"/>
      <c r="C234" s="106"/>
      <c r="D234" s="106"/>
      <c r="E234" s="106"/>
      <c r="F234" s="106"/>
      <c r="G234" s="82"/>
    </row>
    <row r="235" spans="1:7">
      <c r="A235" s="106"/>
      <c r="B235" s="106"/>
      <c r="C235" s="106"/>
      <c r="D235" s="106"/>
      <c r="E235" s="106"/>
      <c r="F235" s="106"/>
      <c r="G235" s="82"/>
    </row>
    <row r="236" spans="1:7">
      <c r="A236" s="106"/>
      <c r="B236" s="106"/>
      <c r="C236" s="106"/>
      <c r="D236" s="106"/>
      <c r="E236" s="106"/>
      <c r="F236" s="106"/>
      <c r="G236" s="82"/>
    </row>
    <row r="237" spans="1:7">
      <c r="A237" s="106"/>
      <c r="B237" s="106"/>
      <c r="C237" s="106"/>
      <c r="D237" s="106"/>
      <c r="E237" s="106"/>
      <c r="F237" s="106"/>
      <c r="G237" s="82"/>
    </row>
    <row r="238" spans="1:7">
      <c r="A238" s="106"/>
      <c r="B238" s="106"/>
      <c r="C238" s="106"/>
      <c r="D238" s="106"/>
      <c r="E238" s="106"/>
      <c r="F238" s="106"/>
      <c r="G238" s="82"/>
    </row>
    <row r="239" spans="1:7">
      <c r="A239" s="106"/>
      <c r="B239" s="106"/>
      <c r="C239" s="106"/>
      <c r="D239" s="106"/>
      <c r="E239" s="106"/>
      <c r="F239" s="106"/>
      <c r="G239" s="82"/>
    </row>
    <row r="240" spans="1:7">
      <c r="A240" s="106"/>
      <c r="B240" s="106"/>
      <c r="C240" s="106"/>
      <c r="D240" s="106"/>
      <c r="E240" s="106"/>
      <c r="F240" s="106"/>
      <c r="G240" s="82"/>
    </row>
    <row r="241" spans="1:7">
      <c r="A241" s="106"/>
      <c r="B241" s="106"/>
      <c r="C241" s="106"/>
      <c r="D241" s="106"/>
      <c r="E241" s="106"/>
      <c r="F241" s="106"/>
      <c r="G241" s="82"/>
    </row>
    <row r="242" spans="1:7">
      <c r="A242" s="106"/>
      <c r="B242" s="106"/>
      <c r="C242" s="106"/>
      <c r="D242" s="106"/>
      <c r="E242" s="106"/>
      <c r="F242" s="106"/>
      <c r="G242" s="82"/>
    </row>
    <row r="243" spans="1:7">
      <c r="A243" s="106"/>
      <c r="B243" s="106"/>
      <c r="C243" s="106"/>
      <c r="D243" s="106"/>
      <c r="E243" s="106"/>
      <c r="F243" s="106"/>
      <c r="G243" s="82"/>
    </row>
    <row r="244" spans="1:7">
      <c r="A244" s="106"/>
      <c r="B244" s="106"/>
      <c r="C244" s="106"/>
      <c r="D244" s="106"/>
      <c r="E244" s="106"/>
      <c r="F244" s="106"/>
      <c r="G244" s="82"/>
    </row>
    <row r="245" spans="1:7">
      <c r="A245" s="106"/>
      <c r="B245" s="106"/>
      <c r="C245" s="106"/>
      <c r="D245" s="106"/>
      <c r="E245" s="106"/>
      <c r="F245" s="106"/>
      <c r="G245" s="82"/>
    </row>
    <row r="246" spans="1:7">
      <c r="A246" s="106"/>
      <c r="B246" s="106"/>
      <c r="C246" s="106"/>
      <c r="D246" s="106"/>
      <c r="E246" s="106"/>
      <c r="F246" s="106"/>
      <c r="G246" s="82"/>
    </row>
    <row r="247" spans="1:7">
      <c r="A247" s="106"/>
      <c r="B247" s="106"/>
      <c r="C247" s="106"/>
      <c r="D247" s="106"/>
      <c r="E247" s="106"/>
      <c r="F247" s="106"/>
      <c r="G247" s="82"/>
    </row>
    <row r="248" spans="1:7">
      <c r="A248" s="106"/>
      <c r="B248" s="106"/>
      <c r="C248" s="106"/>
      <c r="D248" s="106"/>
      <c r="E248" s="106"/>
      <c r="F248" s="106"/>
      <c r="G248" s="82"/>
    </row>
    <row r="249" spans="1:7">
      <c r="A249" s="106"/>
      <c r="B249" s="106"/>
      <c r="C249" s="106"/>
      <c r="D249" s="106"/>
      <c r="E249" s="106"/>
      <c r="F249" s="106"/>
      <c r="G249" s="82"/>
    </row>
    <row r="250" spans="1:7">
      <c r="A250" s="106"/>
      <c r="B250" s="106"/>
      <c r="C250" s="106"/>
      <c r="D250" s="106"/>
      <c r="E250" s="106"/>
      <c r="F250" s="106"/>
      <c r="G250" s="82"/>
    </row>
    <row r="251" spans="1:7">
      <c r="A251" s="106"/>
      <c r="B251" s="106"/>
      <c r="C251" s="106"/>
      <c r="D251" s="106"/>
      <c r="E251" s="106"/>
      <c r="F251" s="106"/>
      <c r="G251" s="82"/>
    </row>
    <row r="252" spans="1:7">
      <c r="A252" s="106"/>
      <c r="B252" s="106"/>
      <c r="C252" s="106"/>
      <c r="D252" s="106"/>
      <c r="E252" s="106"/>
      <c r="F252" s="106"/>
      <c r="G252" s="82"/>
    </row>
    <row r="253" spans="1:7">
      <c r="A253" s="106"/>
      <c r="B253" s="106"/>
      <c r="C253" s="106"/>
      <c r="D253" s="106"/>
      <c r="E253" s="106"/>
      <c r="F253" s="106"/>
      <c r="G253" s="82"/>
    </row>
    <row r="254" spans="1:7">
      <c r="A254" s="106"/>
      <c r="B254" s="106"/>
      <c r="C254" s="106"/>
      <c r="D254" s="106"/>
      <c r="E254" s="106"/>
      <c r="F254" s="106"/>
      <c r="G254" s="82"/>
    </row>
    <row r="255" spans="1:7">
      <c r="A255" s="106"/>
      <c r="B255" s="106"/>
      <c r="C255" s="106"/>
      <c r="D255" s="106"/>
      <c r="E255" s="106"/>
      <c r="F255" s="106"/>
      <c r="G255" s="82"/>
    </row>
    <row r="256" spans="1:7">
      <c r="A256" s="106"/>
      <c r="B256" s="106"/>
      <c r="C256" s="106"/>
      <c r="D256" s="106"/>
      <c r="E256" s="106"/>
      <c r="F256" s="106"/>
      <c r="G256" s="82"/>
    </row>
    <row r="257" spans="1:7">
      <c r="A257" s="106"/>
      <c r="B257" s="106"/>
      <c r="C257" s="106"/>
      <c r="D257" s="106"/>
      <c r="E257" s="106"/>
      <c r="F257" s="106"/>
      <c r="G257" s="82"/>
    </row>
    <row r="258" spans="1:7">
      <c r="A258" s="106"/>
      <c r="B258" s="106"/>
      <c r="C258" s="106"/>
      <c r="D258" s="106"/>
      <c r="E258" s="106"/>
      <c r="F258" s="106"/>
      <c r="G258" s="82"/>
    </row>
    <row r="259" spans="1:7">
      <c r="A259" s="106"/>
      <c r="B259" s="106"/>
      <c r="C259" s="106"/>
      <c r="D259" s="106"/>
      <c r="E259" s="106"/>
      <c r="F259" s="106"/>
      <c r="G259" s="82"/>
    </row>
    <row r="260" spans="1:7">
      <c r="A260" s="106"/>
      <c r="B260" s="106"/>
      <c r="C260" s="106"/>
      <c r="D260" s="106"/>
      <c r="E260" s="106"/>
      <c r="F260" s="106"/>
      <c r="G260" s="82"/>
    </row>
    <row r="261" spans="1:7">
      <c r="A261" s="106"/>
      <c r="B261" s="106"/>
      <c r="C261" s="106"/>
      <c r="D261" s="106"/>
      <c r="E261" s="106"/>
      <c r="F261" s="106"/>
      <c r="G261" s="82"/>
    </row>
    <row r="262" spans="1:7">
      <c r="A262" s="106"/>
      <c r="B262" s="106"/>
      <c r="C262" s="106"/>
      <c r="D262" s="106"/>
      <c r="E262" s="106"/>
      <c r="F262" s="106"/>
      <c r="G262" s="82"/>
    </row>
    <row r="263" spans="1:7">
      <c r="A263" s="106"/>
      <c r="B263" s="106"/>
      <c r="C263" s="106"/>
      <c r="D263" s="106"/>
      <c r="E263" s="106"/>
      <c r="F263" s="106"/>
      <c r="G263" s="82"/>
    </row>
    <row r="264" spans="1:7">
      <c r="A264" s="106"/>
      <c r="B264" s="106"/>
      <c r="C264" s="106"/>
      <c r="D264" s="106"/>
      <c r="E264" s="106"/>
      <c r="F264" s="106"/>
      <c r="G264" s="82"/>
    </row>
    <row r="265" spans="1:7">
      <c r="A265" s="106"/>
      <c r="B265" s="106"/>
      <c r="C265" s="106"/>
      <c r="D265" s="106"/>
      <c r="E265" s="106"/>
      <c r="F265" s="106"/>
      <c r="G265" s="82"/>
    </row>
    <row r="266" spans="1:7">
      <c r="A266" s="106"/>
      <c r="B266" s="106"/>
      <c r="C266" s="106"/>
      <c r="D266" s="106"/>
      <c r="E266" s="106"/>
      <c r="F266" s="106"/>
      <c r="G266" s="82"/>
    </row>
    <row r="267" spans="1:7">
      <c r="A267" s="106"/>
      <c r="B267" s="106"/>
      <c r="C267" s="106"/>
      <c r="D267" s="106"/>
      <c r="E267" s="106"/>
      <c r="F267" s="106"/>
      <c r="G267" s="82"/>
    </row>
    <row r="268" spans="1:7">
      <c r="A268" s="106"/>
      <c r="B268" s="106"/>
      <c r="C268" s="106"/>
      <c r="D268" s="106"/>
      <c r="E268" s="106"/>
      <c r="F268" s="106"/>
      <c r="G268" s="82"/>
    </row>
    <row r="269" spans="1:7">
      <c r="A269" s="106"/>
      <c r="B269" s="106"/>
      <c r="C269" s="106"/>
      <c r="D269" s="106"/>
      <c r="E269" s="106"/>
      <c r="F269" s="106"/>
      <c r="G269" s="82"/>
    </row>
    <row r="270" spans="1:7">
      <c r="A270" s="106"/>
      <c r="B270" s="106"/>
      <c r="C270" s="106"/>
      <c r="D270" s="106"/>
      <c r="E270" s="106"/>
      <c r="F270" s="106"/>
      <c r="G270" s="82"/>
    </row>
    <row r="271" spans="1:7">
      <c r="A271" s="106"/>
      <c r="B271" s="106"/>
      <c r="C271" s="106"/>
      <c r="D271" s="106"/>
      <c r="E271" s="106"/>
      <c r="F271" s="106"/>
      <c r="G271" s="82"/>
    </row>
    <row r="272" spans="1:7">
      <c r="A272" s="106"/>
      <c r="B272" s="106"/>
      <c r="C272" s="106"/>
      <c r="D272" s="106"/>
      <c r="E272" s="106"/>
      <c r="F272" s="106"/>
      <c r="G272" s="82"/>
    </row>
    <row r="273" spans="1:7">
      <c r="A273" s="106"/>
      <c r="B273" s="106"/>
      <c r="C273" s="106"/>
      <c r="D273" s="106"/>
      <c r="E273" s="106"/>
      <c r="F273" s="106"/>
      <c r="G273" s="82"/>
    </row>
    <row r="274" spans="1:7">
      <c r="A274" s="106"/>
      <c r="B274" s="106"/>
      <c r="C274" s="106"/>
      <c r="D274" s="106"/>
      <c r="E274" s="106"/>
      <c r="F274" s="106"/>
      <c r="G274" s="82"/>
    </row>
    <row r="275" spans="1:7">
      <c r="A275" s="106"/>
      <c r="B275" s="106"/>
      <c r="C275" s="106"/>
      <c r="D275" s="106"/>
      <c r="E275" s="106"/>
      <c r="F275" s="106"/>
      <c r="G275" s="82"/>
    </row>
    <row r="276" spans="1:7">
      <c r="A276" s="106"/>
      <c r="B276" s="106"/>
      <c r="C276" s="106"/>
      <c r="D276" s="106"/>
      <c r="E276" s="106"/>
      <c r="F276" s="106"/>
      <c r="G276" s="82"/>
    </row>
    <row r="277" spans="1:7">
      <c r="A277" s="106"/>
      <c r="B277" s="106"/>
      <c r="C277" s="106"/>
      <c r="D277" s="106"/>
      <c r="E277" s="106"/>
      <c r="F277" s="106"/>
      <c r="G277" s="82"/>
    </row>
    <row r="278" spans="1:7">
      <c r="A278" s="106"/>
      <c r="B278" s="106"/>
      <c r="C278" s="106"/>
      <c r="D278" s="106"/>
      <c r="E278" s="106"/>
      <c r="F278" s="106"/>
      <c r="G278" s="82"/>
    </row>
    <row r="279" spans="1:7">
      <c r="A279" s="106"/>
      <c r="B279" s="106"/>
      <c r="C279" s="106"/>
      <c r="D279" s="106"/>
      <c r="E279" s="106"/>
      <c r="F279" s="106"/>
      <c r="G279" s="82"/>
    </row>
    <row r="280" spans="1:7">
      <c r="A280" s="106"/>
      <c r="B280" s="106"/>
      <c r="C280" s="106"/>
      <c r="D280" s="106"/>
      <c r="E280" s="106"/>
      <c r="F280" s="106"/>
      <c r="G280" s="82"/>
    </row>
    <row r="281" spans="1:7">
      <c r="A281" s="106"/>
      <c r="B281" s="106"/>
      <c r="C281" s="106"/>
      <c r="D281" s="106"/>
      <c r="E281" s="106"/>
      <c r="F281" s="106"/>
      <c r="G281" s="82"/>
    </row>
    <row r="282" spans="1:7">
      <c r="A282" s="106"/>
      <c r="B282" s="106"/>
      <c r="C282" s="106"/>
      <c r="D282" s="106"/>
      <c r="E282" s="106"/>
      <c r="F282" s="106"/>
      <c r="G282" s="82"/>
    </row>
    <row r="283" spans="1:7">
      <c r="A283" s="106"/>
      <c r="B283" s="106"/>
      <c r="C283" s="106"/>
      <c r="D283" s="106"/>
      <c r="E283" s="106"/>
      <c r="F283" s="106"/>
      <c r="G283" s="82"/>
    </row>
    <row r="284" spans="1:7">
      <c r="A284" s="106"/>
      <c r="B284" s="106"/>
      <c r="C284" s="106"/>
      <c r="D284" s="106"/>
      <c r="E284" s="106"/>
      <c r="F284" s="106"/>
      <c r="G284" s="82"/>
    </row>
    <row r="285" spans="1:7">
      <c r="A285" s="106"/>
      <c r="B285" s="106"/>
      <c r="C285" s="106"/>
      <c r="D285" s="106"/>
      <c r="E285" s="106"/>
      <c r="F285" s="106"/>
      <c r="G285" s="82"/>
    </row>
    <row r="286" spans="1:7">
      <c r="A286" s="106"/>
      <c r="B286" s="106"/>
      <c r="C286" s="106"/>
      <c r="D286" s="106"/>
      <c r="E286" s="106"/>
      <c r="F286" s="106"/>
      <c r="G286" s="82"/>
    </row>
    <row r="287" spans="1:7">
      <c r="A287" s="106"/>
      <c r="B287" s="106"/>
      <c r="C287" s="106"/>
      <c r="D287" s="106"/>
      <c r="E287" s="106"/>
      <c r="F287" s="106"/>
      <c r="G287" s="82"/>
    </row>
    <row r="288" spans="1:7">
      <c r="A288" s="106"/>
      <c r="B288" s="106"/>
      <c r="C288" s="106"/>
      <c r="D288" s="106"/>
      <c r="E288" s="106"/>
      <c r="F288" s="106"/>
      <c r="G288" s="82"/>
    </row>
    <row r="289" spans="1:7">
      <c r="A289" s="106"/>
      <c r="B289" s="106"/>
      <c r="C289" s="106"/>
      <c r="D289" s="106"/>
      <c r="E289" s="106"/>
      <c r="F289" s="106"/>
      <c r="G289" s="82"/>
    </row>
    <row r="290" spans="1:7">
      <c r="A290" s="106"/>
      <c r="B290" s="106"/>
      <c r="C290" s="106"/>
      <c r="D290" s="106"/>
      <c r="E290" s="106"/>
      <c r="F290" s="106"/>
      <c r="G290" s="82"/>
    </row>
    <row r="291" spans="1:7">
      <c r="A291" s="106"/>
      <c r="B291" s="106"/>
      <c r="C291" s="106"/>
      <c r="D291" s="106"/>
      <c r="E291" s="106"/>
      <c r="F291" s="106"/>
      <c r="G291" s="82"/>
    </row>
    <row r="292" spans="1:7">
      <c r="A292" s="106"/>
      <c r="B292" s="106"/>
      <c r="C292" s="106"/>
      <c r="D292" s="106"/>
      <c r="E292" s="106"/>
      <c r="F292" s="106"/>
      <c r="G292" s="82"/>
    </row>
    <row r="293" spans="1:7">
      <c r="A293" s="106"/>
      <c r="B293" s="106"/>
      <c r="C293" s="106"/>
      <c r="D293" s="106"/>
      <c r="E293" s="106"/>
      <c r="F293" s="106"/>
      <c r="G293" s="82"/>
    </row>
    <row r="294" spans="1:7">
      <c r="A294" s="106"/>
      <c r="B294" s="106"/>
      <c r="C294" s="106"/>
      <c r="D294" s="106"/>
      <c r="E294" s="106"/>
      <c r="F294" s="106"/>
      <c r="G294" s="82"/>
    </row>
    <row r="295" spans="1:7">
      <c r="A295" s="106"/>
      <c r="B295" s="106"/>
      <c r="C295" s="106"/>
      <c r="D295" s="106"/>
      <c r="E295" s="106"/>
      <c r="F295" s="106"/>
      <c r="G295" s="82"/>
    </row>
    <row r="296" spans="1:7">
      <c r="A296" s="106"/>
      <c r="B296" s="106"/>
      <c r="C296" s="106"/>
      <c r="D296" s="106"/>
      <c r="E296" s="106"/>
      <c r="F296" s="106"/>
      <c r="G296" s="82"/>
    </row>
    <row r="297" spans="1:7">
      <c r="A297" s="106"/>
      <c r="B297" s="106"/>
      <c r="C297" s="106"/>
      <c r="D297" s="106"/>
      <c r="E297" s="106"/>
      <c r="F297" s="106"/>
      <c r="G297" s="82"/>
    </row>
    <row r="298" spans="1:7">
      <c r="A298" s="106"/>
      <c r="B298" s="106"/>
      <c r="C298" s="106"/>
      <c r="D298" s="106"/>
      <c r="E298" s="106"/>
      <c r="F298" s="106"/>
      <c r="G298" s="82"/>
    </row>
    <row r="299" spans="1:7">
      <c r="A299" s="106"/>
      <c r="B299" s="106"/>
      <c r="C299" s="106"/>
      <c r="D299" s="106"/>
      <c r="E299" s="106"/>
      <c r="F299" s="106"/>
      <c r="G299" s="82"/>
    </row>
    <row r="300" spans="1:7">
      <c r="A300" s="106"/>
      <c r="B300" s="106"/>
      <c r="C300" s="106"/>
      <c r="D300" s="106"/>
      <c r="E300" s="106"/>
      <c r="F300" s="106"/>
      <c r="G300" s="82"/>
    </row>
    <row r="301" spans="1:7">
      <c r="A301" s="106"/>
      <c r="B301" s="106"/>
      <c r="C301" s="106"/>
      <c r="D301" s="106"/>
      <c r="E301" s="106"/>
      <c r="F301" s="106"/>
      <c r="G301" s="82"/>
    </row>
    <row r="302" spans="1:7">
      <c r="A302" s="106"/>
      <c r="B302" s="106"/>
      <c r="C302" s="106"/>
      <c r="D302" s="106"/>
      <c r="E302" s="106"/>
      <c r="F302" s="106"/>
      <c r="G302" s="82"/>
    </row>
    <row r="303" spans="1:7">
      <c r="A303" s="106"/>
      <c r="B303" s="106"/>
      <c r="C303" s="106"/>
      <c r="D303" s="106"/>
      <c r="E303" s="106"/>
      <c r="F303" s="106"/>
      <c r="G303" s="82"/>
    </row>
    <row r="304" spans="1:7">
      <c r="A304" s="106"/>
      <c r="B304" s="106"/>
      <c r="C304" s="106"/>
      <c r="D304" s="106"/>
      <c r="E304" s="106"/>
      <c r="F304" s="106"/>
      <c r="G304" s="82"/>
    </row>
    <row r="305" spans="1:7">
      <c r="A305" s="106"/>
      <c r="B305" s="106"/>
      <c r="C305" s="106"/>
      <c r="D305" s="106"/>
      <c r="E305" s="106"/>
      <c r="F305" s="106"/>
      <c r="G305" s="82"/>
    </row>
    <row r="306" spans="1:7">
      <c r="A306" s="106"/>
      <c r="B306" s="106"/>
      <c r="C306" s="106"/>
      <c r="D306" s="106"/>
      <c r="E306" s="106"/>
      <c r="F306" s="106"/>
      <c r="G306" s="82"/>
    </row>
    <row r="307" spans="1:7">
      <c r="A307" s="106"/>
      <c r="B307" s="106"/>
      <c r="C307" s="106"/>
      <c r="D307" s="106"/>
      <c r="E307" s="106"/>
      <c r="F307" s="106"/>
      <c r="G307" s="82"/>
    </row>
    <row r="308" spans="1:7">
      <c r="A308" s="106"/>
      <c r="B308" s="106"/>
      <c r="C308" s="106"/>
      <c r="D308" s="106"/>
      <c r="E308" s="106"/>
      <c r="F308" s="106"/>
      <c r="G308" s="82"/>
    </row>
    <row r="309" spans="1:7">
      <c r="A309" s="106"/>
      <c r="B309" s="106"/>
      <c r="C309" s="106"/>
      <c r="D309" s="106"/>
      <c r="E309" s="106"/>
      <c r="F309" s="106"/>
      <c r="G309" s="82"/>
    </row>
    <row r="310" spans="1:7">
      <c r="A310" s="106"/>
      <c r="B310" s="106"/>
      <c r="C310" s="106"/>
      <c r="D310" s="106"/>
      <c r="E310" s="106"/>
      <c r="F310" s="106"/>
      <c r="G310" s="82"/>
    </row>
    <row r="311" spans="1:7">
      <c r="A311" s="106"/>
      <c r="B311" s="106"/>
      <c r="C311" s="106"/>
      <c r="D311" s="106"/>
      <c r="E311" s="106"/>
      <c r="F311" s="106"/>
      <c r="G311" s="82"/>
    </row>
    <row r="312" spans="1:7">
      <c r="A312" s="106"/>
      <c r="B312" s="106"/>
      <c r="C312" s="106"/>
      <c r="D312" s="106"/>
      <c r="E312" s="106"/>
      <c r="F312" s="106"/>
      <c r="G312" s="82"/>
    </row>
    <row r="313" spans="1:7">
      <c r="A313" s="106"/>
      <c r="B313" s="106"/>
      <c r="C313" s="106"/>
      <c r="D313" s="106"/>
      <c r="E313" s="106"/>
      <c r="F313" s="106"/>
      <c r="G313" s="82"/>
    </row>
    <row r="314" spans="1:7">
      <c r="A314" s="106"/>
      <c r="B314" s="106"/>
      <c r="C314" s="106"/>
      <c r="D314" s="106"/>
      <c r="E314" s="106"/>
      <c r="F314" s="106"/>
      <c r="G314" s="82"/>
    </row>
    <row r="315" spans="1:7">
      <c r="A315" s="106"/>
      <c r="B315" s="106"/>
      <c r="C315" s="106"/>
      <c r="D315" s="106"/>
      <c r="E315" s="106"/>
      <c r="F315" s="106"/>
      <c r="G315" s="82"/>
    </row>
    <row r="316" spans="1:7">
      <c r="A316" s="106"/>
      <c r="B316" s="106"/>
      <c r="C316" s="106"/>
      <c r="D316" s="106"/>
      <c r="E316" s="106"/>
      <c r="F316" s="106"/>
      <c r="G316" s="82"/>
    </row>
    <row r="317" spans="1:7">
      <c r="A317" s="106"/>
      <c r="B317" s="106"/>
      <c r="C317" s="106"/>
      <c r="D317" s="106"/>
      <c r="E317" s="106"/>
      <c r="F317" s="106"/>
      <c r="G317" s="82"/>
    </row>
    <row r="318" spans="1:7">
      <c r="A318" s="106"/>
      <c r="B318" s="106"/>
      <c r="C318" s="106"/>
      <c r="D318" s="106"/>
      <c r="E318" s="106"/>
      <c r="F318" s="106"/>
      <c r="G318" s="82"/>
    </row>
    <row r="319" spans="1:7">
      <c r="A319" s="106"/>
      <c r="B319" s="106"/>
      <c r="C319" s="106"/>
      <c r="D319" s="106"/>
      <c r="E319" s="106"/>
      <c r="F319" s="106"/>
      <c r="G319" s="82"/>
    </row>
    <row r="320" spans="1:7">
      <c r="A320" s="106"/>
      <c r="B320" s="106"/>
      <c r="C320" s="106"/>
      <c r="D320" s="106"/>
      <c r="E320" s="106"/>
      <c r="F320" s="106"/>
      <c r="G320" s="82"/>
    </row>
    <row r="321" spans="1:7">
      <c r="A321" s="106"/>
      <c r="B321" s="106"/>
      <c r="C321" s="106"/>
      <c r="D321" s="106"/>
      <c r="E321" s="106"/>
      <c r="F321" s="106"/>
      <c r="G321" s="82"/>
    </row>
    <row r="322" spans="1:7">
      <c r="A322" s="106"/>
      <c r="B322" s="106"/>
      <c r="C322" s="106"/>
      <c r="D322" s="106"/>
      <c r="E322" s="106"/>
      <c r="F322" s="106"/>
      <c r="G322" s="82"/>
    </row>
    <row r="323" spans="1:7">
      <c r="A323" s="106"/>
      <c r="B323" s="106"/>
      <c r="C323" s="106"/>
      <c r="D323" s="106"/>
      <c r="E323" s="106"/>
      <c r="F323" s="106"/>
      <c r="G323" s="82"/>
    </row>
    <row r="324" spans="1:7">
      <c r="A324" s="106"/>
      <c r="B324" s="106"/>
      <c r="C324" s="106"/>
      <c r="D324" s="106"/>
      <c r="E324" s="106"/>
      <c r="F324" s="106"/>
      <c r="G324" s="82"/>
    </row>
    <row r="325" spans="1:7">
      <c r="A325" s="106"/>
      <c r="B325" s="106"/>
      <c r="C325" s="106"/>
      <c r="D325" s="106"/>
      <c r="E325" s="106"/>
      <c r="F325" s="106"/>
      <c r="G325" s="82"/>
    </row>
    <row r="326" spans="1:7">
      <c r="A326" s="106"/>
      <c r="B326" s="106"/>
      <c r="C326" s="106"/>
      <c r="D326" s="106"/>
      <c r="E326" s="106"/>
      <c r="F326" s="106"/>
      <c r="G326" s="82"/>
    </row>
    <row r="327" spans="1:7">
      <c r="A327" s="106"/>
      <c r="B327" s="106"/>
      <c r="C327" s="106"/>
      <c r="D327" s="106"/>
      <c r="E327" s="106"/>
      <c r="F327" s="106"/>
      <c r="G327" s="82"/>
    </row>
    <row r="328" spans="1:7">
      <c r="A328" s="106"/>
      <c r="B328" s="106"/>
      <c r="C328" s="106"/>
      <c r="D328" s="106"/>
      <c r="E328" s="106"/>
      <c r="F328" s="106"/>
      <c r="G328" s="82"/>
    </row>
    <row r="329" spans="1:7">
      <c r="A329" s="106"/>
      <c r="B329" s="106"/>
      <c r="C329" s="106"/>
      <c r="D329" s="106"/>
      <c r="E329" s="106"/>
      <c r="F329" s="106"/>
      <c r="G329" s="82"/>
    </row>
    <row r="330" spans="1:7">
      <c r="A330" s="106"/>
      <c r="B330" s="106"/>
      <c r="C330" s="106"/>
      <c r="D330" s="106"/>
      <c r="E330" s="106"/>
      <c r="F330" s="106"/>
      <c r="G330" s="82"/>
    </row>
    <row r="331" spans="1:7">
      <c r="A331" s="106"/>
      <c r="B331" s="106"/>
      <c r="C331" s="106"/>
      <c r="D331" s="106"/>
      <c r="E331" s="106"/>
      <c r="F331" s="106"/>
      <c r="G331" s="82"/>
    </row>
    <row r="332" spans="1:7">
      <c r="A332" s="106"/>
      <c r="B332" s="106"/>
      <c r="C332" s="106"/>
      <c r="D332" s="106"/>
      <c r="E332" s="106"/>
      <c r="F332" s="106"/>
      <c r="G332" s="82"/>
    </row>
    <row r="333" spans="1:7">
      <c r="A333" s="106"/>
      <c r="B333" s="106"/>
      <c r="C333" s="106"/>
      <c r="D333" s="106"/>
      <c r="E333" s="106"/>
      <c r="F333" s="106"/>
      <c r="G333" s="82"/>
    </row>
    <row r="334" spans="1:7">
      <c r="A334" s="106"/>
      <c r="B334" s="106"/>
      <c r="C334" s="106"/>
      <c r="D334" s="106"/>
      <c r="E334" s="106"/>
      <c r="F334" s="106"/>
      <c r="G334" s="82"/>
    </row>
    <row r="335" spans="1:7">
      <c r="A335" s="106"/>
      <c r="B335" s="106"/>
      <c r="C335" s="106"/>
      <c r="D335" s="106"/>
      <c r="E335" s="106"/>
      <c r="F335" s="106"/>
      <c r="G335" s="82"/>
    </row>
    <row r="336" spans="1:7">
      <c r="A336" s="106"/>
      <c r="B336" s="106"/>
      <c r="C336" s="106"/>
      <c r="D336" s="106"/>
      <c r="E336" s="106"/>
      <c r="F336" s="106"/>
      <c r="G336" s="82"/>
    </row>
    <row r="337" spans="1:7">
      <c r="A337" s="106"/>
      <c r="B337" s="106"/>
      <c r="C337" s="106"/>
      <c r="D337" s="106"/>
      <c r="E337" s="106"/>
      <c r="F337" s="106"/>
      <c r="G337" s="82"/>
    </row>
    <row r="338" spans="1:7">
      <c r="A338" s="106"/>
      <c r="B338" s="106"/>
      <c r="C338" s="106"/>
      <c r="D338" s="106"/>
      <c r="E338" s="106"/>
      <c r="F338" s="106"/>
      <c r="G338" s="82"/>
    </row>
    <row r="339" spans="1:7">
      <c r="A339" s="106"/>
      <c r="B339" s="106"/>
      <c r="C339" s="106"/>
      <c r="D339" s="106"/>
      <c r="E339" s="106"/>
      <c r="F339" s="106"/>
      <c r="G339" s="82"/>
    </row>
    <row r="340" spans="1:7">
      <c r="A340" s="106"/>
      <c r="B340" s="106"/>
      <c r="C340" s="106"/>
      <c r="D340" s="106"/>
      <c r="E340" s="106"/>
      <c r="F340" s="106"/>
      <c r="G340" s="82"/>
    </row>
    <row r="341" spans="1:7">
      <c r="A341" s="106"/>
      <c r="B341" s="106"/>
      <c r="C341" s="106"/>
      <c r="D341" s="106"/>
      <c r="E341" s="106"/>
      <c r="F341" s="106"/>
      <c r="G341" s="82"/>
    </row>
    <row r="342" spans="1:7">
      <c r="A342" s="106"/>
      <c r="B342" s="106"/>
      <c r="C342" s="106"/>
      <c r="D342" s="106"/>
      <c r="E342" s="106"/>
      <c r="F342" s="106"/>
      <c r="G342" s="82"/>
    </row>
    <row r="343" spans="1:7">
      <c r="A343" s="106"/>
      <c r="B343" s="106"/>
      <c r="C343" s="106"/>
      <c r="D343" s="106"/>
      <c r="E343" s="106"/>
      <c r="F343" s="106"/>
      <c r="G343" s="82"/>
    </row>
    <row r="344" spans="1:7">
      <c r="A344" s="106"/>
      <c r="B344" s="106"/>
      <c r="C344" s="106"/>
      <c r="D344" s="106"/>
      <c r="E344" s="106"/>
      <c r="F344" s="106"/>
      <c r="G344" s="82"/>
    </row>
    <row r="345" spans="1:7">
      <c r="A345" s="106"/>
      <c r="B345" s="106"/>
      <c r="C345" s="106"/>
      <c r="D345" s="106"/>
      <c r="E345" s="106"/>
      <c r="F345" s="106"/>
      <c r="G345" s="82"/>
    </row>
    <row r="346" spans="1:7">
      <c r="A346" s="106"/>
      <c r="B346" s="106"/>
      <c r="C346" s="106"/>
      <c r="D346" s="106"/>
      <c r="E346" s="106"/>
      <c r="F346" s="106"/>
      <c r="G346" s="82"/>
    </row>
    <row r="347" spans="1:7">
      <c r="A347" s="106"/>
      <c r="B347" s="106"/>
      <c r="C347" s="106"/>
      <c r="D347" s="106"/>
      <c r="E347" s="106"/>
      <c r="F347" s="106"/>
      <c r="G347" s="82"/>
    </row>
    <row r="348" spans="1:7">
      <c r="A348" s="106"/>
      <c r="B348" s="106"/>
      <c r="C348" s="106"/>
      <c r="D348" s="106"/>
      <c r="E348" s="106"/>
      <c r="F348" s="106"/>
      <c r="G348" s="82"/>
    </row>
    <row r="349" spans="1:7">
      <c r="A349" s="106"/>
      <c r="B349" s="106"/>
      <c r="C349" s="106"/>
      <c r="D349" s="106"/>
      <c r="E349" s="106"/>
      <c r="F349" s="106"/>
      <c r="G349" s="82"/>
    </row>
    <row r="350" spans="1:7">
      <c r="A350" s="106"/>
      <c r="B350" s="106"/>
      <c r="C350" s="106"/>
      <c r="D350" s="106"/>
      <c r="E350" s="106"/>
      <c r="F350" s="106"/>
      <c r="G350" s="82"/>
    </row>
    <row r="351" spans="1:7">
      <c r="A351" s="106"/>
      <c r="B351" s="106"/>
      <c r="C351" s="106"/>
      <c r="D351" s="106"/>
      <c r="E351" s="106"/>
      <c r="F351" s="106"/>
      <c r="G351" s="82"/>
    </row>
    <row r="352" spans="1:7">
      <c r="A352" s="106"/>
      <c r="B352" s="106"/>
      <c r="C352" s="106"/>
      <c r="D352" s="106"/>
      <c r="E352" s="106"/>
      <c r="F352" s="106"/>
      <c r="G352" s="82"/>
    </row>
  </sheetData>
  <mergeCells count="12">
    <mergeCell ref="A124:G124"/>
    <mergeCell ref="A1:G1"/>
    <mergeCell ref="A2:G2"/>
    <mergeCell ref="A3:G3"/>
    <mergeCell ref="A4:G4"/>
    <mergeCell ref="A62:G62"/>
    <mergeCell ref="A63:G63"/>
    <mergeCell ref="A64:G64"/>
    <mergeCell ref="A65:G65"/>
    <mergeCell ref="A121:G121"/>
    <mergeCell ref="A122:G122"/>
    <mergeCell ref="A123:G123"/>
  </mergeCells>
  <pageMargins left="1" right="0.5" top="0.75" bottom="0.5" header="0.5" footer="0.5"/>
  <pageSetup paperSize="9" orientation="portrait" r:id="rId1"/>
  <headerFooter alignWithMargins="0">
    <oddFooter>&amp;C&amp;8&amp;P of 3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53"/>
  <sheetViews>
    <sheetView zoomScale="120" zoomScaleNormal="120" workbookViewId="0">
      <selection activeCell="A13" sqref="A13:G14"/>
    </sheetView>
  </sheetViews>
  <sheetFormatPr defaultRowHeight="12"/>
  <cols>
    <col min="1" max="3" width="9.140625" style="240" customWidth="1"/>
    <col min="4" max="4" width="12.7109375" style="240" customWidth="1"/>
    <col min="5" max="5" width="14.85546875" style="240" bestFit="1" customWidth="1"/>
    <col min="6" max="6" width="4.7109375" style="240" customWidth="1"/>
    <col min="7" max="7" width="17.85546875" style="240" customWidth="1"/>
    <col min="8" max="8" width="12.140625" style="243" customWidth="1"/>
    <col min="9" max="9" width="16.5703125" style="240" customWidth="1"/>
    <col min="10" max="16384" width="9.140625" style="240"/>
  </cols>
  <sheetData>
    <row r="1" spans="1:9">
      <c r="A1" s="324" t="s">
        <v>584</v>
      </c>
      <c r="B1" s="324"/>
      <c r="C1" s="324"/>
      <c r="D1" s="324"/>
      <c r="E1" s="324"/>
      <c r="F1" s="324"/>
      <c r="G1" s="324"/>
    </row>
    <row r="2" spans="1:9">
      <c r="A2" s="324" t="s">
        <v>585</v>
      </c>
      <c r="B2" s="324"/>
      <c r="C2" s="324"/>
      <c r="D2" s="324"/>
      <c r="E2" s="324"/>
      <c r="F2" s="324"/>
      <c r="G2" s="324"/>
    </row>
    <row r="3" spans="1:9">
      <c r="A3" s="324" t="s">
        <v>700</v>
      </c>
      <c r="B3" s="324"/>
      <c r="C3" s="324"/>
      <c r="D3" s="324"/>
      <c r="E3" s="324"/>
      <c r="F3" s="324"/>
      <c r="G3" s="324"/>
    </row>
    <row r="4" spans="1:9">
      <c r="A4" s="324"/>
      <c r="B4" s="324"/>
      <c r="C4" s="324"/>
      <c r="D4" s="324"/>
      <c r="E4" s="324"/>
      <c r="F4" s="324"/>
      <c r="G4" s="324"/>
    </row>
    <row r="5" spans="1:9">
      <c r="G5" s="241"/>
      <c r="H5" s="241"/>
    </row>
    <row r="6" spans="1:9">
      <c r="A6" s="240" t="s">
        <v>635</v>
      </c>
      <c r="E6" s="242"/>
      <c r="F6" s="243"/>
      <c r="G6" s="244">
        <v>28892448.899999999</v>
      </c>
      <c r="H6" s="245"/>
      <c r="I6" s="246"/>
    </row>
    <row r="7" spans="1:9">
      <c r="A7" s="247" t="s">
        <v>587</v>
      </c>
      <c r="E7" s="242"/>
      <c r="F7" s="243"/>
      <c r="G7" s="244"/>
      <c r="H7" s="245"/>
      <c r="I7" s="246"/>
    </row>
    <row r="8" spans="1:9">
      <c r="A8" s="247" t="s">
        <v>624</v>
      </c>
      <c r="B8" s="248"/>
      <c r="C8" s="248"/>
      <c r="D8" s="248"/>
      <c r="E8" s="242"/>
      <c r="F8" s="243"/>
      <c r="G8" s="244">
        <v>266677.78000000562</v>
      </c>
      <c r="H8" s="245"/>
      <c r="I8" s="246"/>
    </row>
    <row r="9" spans="1:9">
      <c r="A9" s="247" t="s">
        <v>730</v>
      </c>
      <c r="B9" s="248"/>
      <c r="E9" s="242"/>
      <c r="F9" s="243"/>
      <c r="G9" s="249">
        <v>31311.74</v>
      </c>
      <c r="H9" s="245"/>
      <c r="I9" s="246"/>
    </row>
    <row r="10" spans="1:9">
      <c r="A10" s="250" t="s">
        <v>589</v>
      </c>
      <c r="E10" s="242"/>
      <c r="F10" s="243"/>
      <c r="G10" s="251">
        <f>SUM(G6:G9)</f>
        <v>29190438.420000002</v>
      </c>
      <c r="H10" s="260"/>
      <c r="I10" s="246"/>
    </row>
    <row r="11" spans="1:9">
      <c r="E11" s="242"/>
      <c r="F11" s="243"/>
      <c r="G11" s="244"/>
      <c r="H11" s="245"/>
      <c r="I11" s="246"/>
    </row>
    <row r="12" spans="1:9">
      <c r="A12" s="240" t="s">
        <v>590</v>
      </c>
      <c r="E12" s="242"/>
      <c r="F12" s="243"/>
      <c r="G12" s="244"/>
      <c r="H12" s="245"/>
      <c r="I12" s="246"/>
    </row>
    <row r="13" spans="1:9">
      <c r="A13" s="247" t="s">
        <v>591</v>
      </c>
      <c r="E13" s="242"/>
      <c r="F13" s="243"/>
      <c r="G13" s="244">
        <v>-1271501</v>
      </c>
      <c r="H13" s="245"/>
      <c r="I13" s="246"/>
    </row>
    <row r="14" spans="1:9">
      <c r="A14" s="247" t="s">
        <v>592</v>
      </c>
      <c r="E14" s="242"/>
      <c r="F14" s="243"/>
      <c r="G14" s="252">
        <v>808803.6400000006</v>
      </c>
      <c r="H14" s="245"/>
      <c r="I14" s="246"/>
    </row>
    <row r="15" spans="1:9">
      <c r="A15" s="250" t="s">
        <v>593</v>
      </c>
      <c r="E15" s="242"/>
      <c r="F15" s="243"/>
      <c r="G15" s="251">
        <f>SUM(G13:G14)</f>
        <v>-462697.3599999994</v>
      </c>
      <c r="H15" s="260"/>
      <c r="I15" s="246"/>
    </row>
    <row r="16" spans="1:9">
      <c r="E16" s="242"/>
      <c r="F16" s="242"/>
      <c r="G16" s="242"/>
      <c r="H16" s="245"/>
    </row>
    <row r="17" spans="1:9" ht="12.75" thickBot="1">
      <c r="A17" s="253" t="s">
        <v>731</v>
      </c>
      <c r="B17" s="253"/>
      <c r="C17" s="253"/>
      <c r="D17" s="253"/>
      <c r="E17" s="254"/>
      <c r="F17" s="254"/>
      <c r="G17" s="255">
        <f>G10+G15</f>
        <v>28727741.060000002</v>
      </c>
      <c r="H17" s="261"/>
      <c r="I17" s="244"/>
    </row>
    <row r="18" spans="1:9" ht="12.75" thickTop="1">
      <c r="E18" s="242"/>
      <c r="F18" s="242"/>
      <c r="G18" s="242"/>
      <c r="H18" s="262"/>
    </row>
    <row r="19" spans="1:9">
      <c r="E19" s="242"/>
      <c r="F19" s="242"/>
      <c r="G19" s="242"/>
      <c r="H19" s="262"/>
      <c r="I19" s="256"/>
    </row>
    <row r="20" spans="1:9">
      <c r="E20" s="242"/>
      <c r="F20" s="242"/>
      <c r="G20" s="242"/>
      <c r="H20" s="262"/>
      <c r="I20" s="256"/>
    </row>
    <row r="21" spans="1:9">
      <c r="G21" s="256"/>
    </row>
    <row r="23" spans="1:9">
      <c r="F23" s="240" t="s">
        <v>506</v>
      </c>
    </row>
    <row r="26" spans="1:9">
      <c r="E26" s="253"/>
      <c r="F26" s="253" t="s">
        <v>507</v>
      </c>
    </row>
    <row r="27" spans="1:9">
      <c r="F27" s="240" t="s">
        <v>508</v>
      </c>
    </row>
    <row r="53" spans="1:8">
      <c r="A53" s="324"/>
      <c r="B53" s="324"/>
      <c r="C53" s="324"/>
      <c r="D53" s="324"/>
      <c r="E53" s="324"/>
      <c r="F53" s="324"/>
      <c r="G53" s="324"/>
      <c r="H53" s="324"/>
    </row>
  </sheetData>
  <mergeCells count="5">
    <mergeCell ref="A1:G1"/>
    <mergeCell ref="A2:G2"/>
    <mergeCell ref="A3:G3"/>
    <mergeCell ref="A4:G4"/>
    <mergeCell ref="A53:H53"/>
  </mergeCells>
  <pageMargins left="0.75" right="0.75" top="1.25" bottom="1" header="0.5" footer="0.5"/>
  <pageSetup paperSize="9" orientation="portrait" horizontalDpi="4294967295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54"/>
  <sheetViews>
    <sheetView zoomScale="120" zoomScaleNormal="120" workbookViewId="0">
      <selection activeCell="A15" sqref="A15:IV15"/>
    </sheetView>
  </sheetViews>
  <sheetFormatPr defaultRowHeight="12.75"/>
  <cols>
    <col min="1" max="3" width="9.140625" style="91" customWidth="1"/>
    <col min="4" max="4" width="12.7109375" style="91" customWidth="1"/>
    <col min="5" max="5" width="14.85546875" style="91" bestFit="1" customWidth="1"/>
    <col min="6" max="6" width="4.7109375" style="91" customWidth="1"/>
    <col min="7" max="7" width="17.85546875" style="91" customWidth="1"/>
    <col min="8" max="8" width="12.140625" style="91" customWidth="1"/>
    <col min="9" max="9" width="16.5703125" style="91" customWidth="1"/>
    <col min="10" max="16384" width="9.140625" style="91"/>
  </cols>
  <sheetData>
    <row r="1" spans="1:9">
      <c r="A1" s="323" t="s">
        <v>584</v>
      </c>
      <c r="B1" s="323"/>
      <c r="C1" s="323"/>
      <c r="D1" s="323"/>
      <c r="E1" s="323"/>
      <c r="F1" s="323"/>
      <c r="G1" s="323"/>
    </row>
    <row r="2" spans="1:9">
      <c r="A2" s="323" t="s">
        <v>585</v>
      </c>
      <c r="B2" s="323"/>
      <c r="C2" s="323"/>
      <c r="D2" s="323"/>
      <c r="E2" s="323"/>
      <c r="F2" s="323"/>
      <c r="G2" s="323"/>
    </row>
    <row r="3" spans="1:9">
      <c r="A3" s="323" t="s">
        <v>510</v>
      </c>
      <c r="B3" s="323"/>
      <c r="C3" s="323"/>
      <c r="D3" s="323"/>
      <c r="E3" s="323"/>
      <c r="F3" s="323"/>
      <c r="G3" s="323"/>
    </row>
    <row r="4" spans="1:9">
      <c r="A4" s="323"/>
      <c r="B4" s="323"/>
      <c r="C4" s="323"/>
      <c r="D4" s="323"/>
      <c r="E4" s="323"/>
      <c r="F4" s="323"/>
      <c r="G4" s="323"/>
    </row>
    <row r="5" spans="1:9">
      <c r="G5" s="160">
        <v>2015</v>
      </c>
      <c r="H5" s="160">
        <v>2014</v>
      </c>
    </row>
    <row r="6" spans="1:9">
      <c r="A6" s="91" t="s">
        <v>586</v>
      </c>
      <c r="E6" s="58"/>
      <c r="F6" s="106"/>
      <c r="G6" s="120">
        <v>28255460.050000004</v>
      </c>
      <c r="H6" s="161">
        <v>11421209.18</v>
      </c>
      <c r="I6" s="108"/>
    </row>
    <row r="7" spans="1:9">
      <c r="A7" s="121" t="s">
        <v>587</v>
      </c>
      <c r="E7" s="58"/>
      <c r="F7" s="106"/>
      <c r="G7" s="120"/>
      <c r="H7" s="161"/>
      <c r="I7" s="108"/>
    </row>
    <row r="8" spans="1:9">
      <c r="A8" s="121" t="s">
        <v>588</v>
      </c>
      <c r="E8" s="58"/>
      <c r="F8" s="106"/>
      <c r="G8" s="120">
        <f>-37130.12</f>
        <v>-37130.120000000003</v>
      </c>
      <c r="H8" s="161">
        <v>-54899.28</v>
      </c>
      <c r="I8" s="108"/>
    </row>
    <row r="9" spans="1:9">
      <c r="A9" s="121" t="s">
        <v>624</v>
      </c>
      <c r="B9" s="158"/>
      <c r="C9" s="158"/>
      <c r="D9" s="158"/>
      <c r="E9" s="58"/>
      <c r="F9" s="106"/>
      <c r="G9" s="120">
        <v>623084.52</v>
      </c>
      <c r="H9" s="161">
        <v>571124.57999999996</v>
      </c>
      <c r="I9" s="108"/>
    </row>
    <row r="10" spans="1:9">
      <c r="A10" s="121" t="s">
        <v>627</v>
      </c>
      <c r="B10" s="158"/>
      <c r="E10" s="58"/>
      <c r="F10" s="106"/>
      <c r="G10" s="81"/>
      <c r="H10" s="161">
        <v>347528.08</v>
      </c>
      <c r="I10" s="108"/>
    </row>
    <row r="11" spans="1:9">
      <c r="A11" s="122" t="s">
        <v>589</v>
      </c>
      <c r="E11" s="58"/>
      <c r="F11" s="106"/>
      <c r="G11" s="123">
        <f>SUM(G6:G10)</f>
        <v>28841414.450000003</v>
      </c>
      <c r="H11" s="123">
        <f>SUM(H6:H10)</f>
        <v>12284962.560000001</v>
      </c>
      <c r="I11" s="108"/>
    </row>
    <row r="12" spans="1:9">
      <c r="E12" s="58"/>
      <c r="F12" s="106"/>
      <c r="G12" s="120"/>
      <c r="H12" s="161"/>
      <c r="I12" s="108"/>
    </row>
    <row r="13" spans="1:9">
      <c r="A13" s="91" t="s">
        <v>590</v>
      </c>
      <c r="E13" s="58"/>
      <c r="F13" s="106"/>
      <c r="G13" s="120"/>
      <c r="H13" s="161"/>
      <c r="I13" s="108"/>
    </row>
    <row r="14" spans="1:9">
      <c r="A14" s="121" t="s">
        <v>591</v>
      </c>
      <c r="E14" s="58"/>
      <c r="F14" s="106"/>
      <c r="G14" s="120">
        <v>-5127445</v>
      </c>
      <c r="H14" s="161">
        <v>-4887885</v>
      </c>
      <c r="I14" s="108"/>
    </row>
    <row r="15" spans="1:9">
      <c r="A15" s="121" t="s">
        <v>592</v>
      </c>
      <c r="E15" s="58"/>
      <c r="F15" s="106"/>
      <c r="G15" s="124">
        <v>5128479.4499999955</v>
      </c>
      <c r="H15" s="161">
        <v>20858382.489999998</v>
      </c>
      <c r="I15" s="108"/>
    </row>
    <row r="16" spans="1:9">
      <c r="A16" s="122" t="s">
        <v>593</v>
      </c>
      <c r="E16" s="58"/>
      <c r="F16" s="106"/>
      <c r="G16" s="123">
        <f>SUM(G14:G15)</f>
        <v>1034.4499999955297</v>
      </c>
      <c r="H16" s="123">
        <f>SUM(H14:H15)</f>
        <v>15970497.489999998</v>
      </c>
      <c r="I16" s="108"/>
    </row>
    <row r="17" spans="1:9">
      <c r="E17" s="58"/>
      <c r="F17" s="58"/>
      <c r="G17" s="58"/>
      <c r="H17" s="159"/>
    </row>
    <row r="18" spans="1:9" ht="13.5" thickBot="1">
      <c r="A18" s="89" t="s">
        <v>628</v>
      </c>
      <c r="B18" s="89"/>
      <c r="C18" s="89"/>
      <c r="D18" s="89"/>
      <c r="E18" s="125"/>
      <c r="F18" s="125"/>
      <c r="G18" s="126">
        <f>G11+G16</f>
        <v>28842448.899999999</v>
      </c>
      <c r="H18" s="126">
        <f>H11+H16</f>
        <v>28255460.049999997</v>
      </c>
      <c r="I18" s="127"/>
    </row>
    <row r="19" spans="1:9" ht="13.5" thickTop="1">
      <c r="E19" s="58"/>
      <c r="F19" s="58"/>
      <c r="G19" s="58"/>
      <c r="H19" s="58"/>
    </row>
    <row r="20" spans="1:9">
      <c r="E20" s="58"/>
      <c r="F20" s="58"/>
      <c r="G20" s="58"/>
      <c r="H20" s="58"/>
      <c r="I20" s="107" t="e">
        <f>G18-#REF!</f>
        <v>#REF!</v>
      </c>
    </row>
    <row r="21" spans="1:9">
      <c r="E21" s="58"/>
      <c r="F21" s="58"/>
      <c r="G21" s="58"/>
      <c r="H21" s="58"/>
      <c r="I21" s="107"/>
    </row>
    <row r="22" spans="1:9">
      <c r="G22" s="107"/>
    </row>
    <row r="24" spans="1:9">
      <c r="F24" s="91" t="s">
        <v>506</v>
      </c>
    </row>
    <row r="27" spans="1:9">
      <c r="E27" s="89"/>
      <c r="F27" s="89" t="s">
        <v>507</v>
      </c>
    </row>
    <row r="28" spans="1:9">
      <c r="F28" s="91" t="s">
        <v>508</v>
      </c>
    </row>
    <row r="54" spans="1:8">
      <c r="A54" s="323"/>
      <c r="B54" s="323"/>
      <c r="C54" s="323"/>
      <c r="D54" s="323"/>
      <c r="E54" s="323"/>
      <c r="F54" s="323"/>
      <c r="G54" s="323"/>
      <c r="H54" s="323"/>
    </row>
  </sheetData>
  <mergeCells count="5">
    <mergeCell ref="A1:G1"/>
    <mergeCell ref="A2:G2"/>
    <mergeCell ref="A3:G3"/>
    <mergeCell ref="A4:G4"/>
    <mergeCell ref="A54:H54"/>
  </mergeCells>
  <pageMargins left="0.75" right="0.75" top="1.25" bottom="1" header="0.5" footer="0.5"/>
  <pageSetup paperSize="9" orientation="portrait" horizontalDpi="4294967295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54"/>
  <sheetViews>
    <sheetView zoomScale="120" zoomScaleNormal="120" workbookViewId="0">
      <selection activeCell="G22" sqref="G22"/>
    </sheetView>
  </sheetViews>
  <sheetFormatPr defaultRowHeight="12.75"/>
  <cols>
    <col min="1" max="3" width="9.140625" style="222" customWidth="1"/>
    <col min="4" max="4" width="12.7109375" style="222" customWidth="1"/>
    <col min="5" max="5" width="14.85546875" style="222" bestFit="1" customWidth="1"/>
    <col min="6" max="6" width="4.7109375" style="222" customWidth="1"/>
    <col min="7" max="7" width="17.85546875" style="222" customWidth="1"/>
    <col min="8" max="8" width="16.5703125" style="222" customWidth="1"/>
    <col min="9" max="16384" width="9.140625" style="222"/>
  </cols>
  <sheetData>
    <row r="1" spans="1:8">
      <c r="A1" s="325" t="s">
        <v>584</v>
      </c>
      <c r="B1" s="325"/>
      <c r="C1" s="325"/>
      <c r="D1" s="325"/>
      <c r="E1" s="325"/>
      <c r="F1" s="325"/>
      <c r="G1" s="325"/>
    </row>
    <row r="2" spans="1:8">
      <c r="A2" s="325" t="s">
        <v>637</v>
      </c>
      <c r="B2" s="325"/>
      <c r="C2" s="325"/>
      <c r="D2" s="325"/>
      <c r="E2" s="325"/>
      <c r="F2" s="325"/>
      <c r="G2" s="325"/>
    </row>
    <row r="3" spans="1:8">
      <c r="A3" s="325" t="s">
        <v>700</v>
      </c>
      <c r="B3" s="325"/>
      <c r="C3" s="325"/>
      <c r="D3" s="325"/>
      <c r="E3" s="325"/>
      <c r="F3" s="325"/>
      <c r="G3" s="325"/>
    </row>
    <row r="4" spans="1:8">
      <c r="A4" s="325"/>
      <c r="B4" s="325"/>
      <c r="C4" s="325"/>
      <c r="D4" s="325"/>
      <c r="E4" s="325"/>
      <c r="F4" s="325"/>
      <c r="G4" s="325"/>
    </row>
    <row r="5" spans="1:8">
      <c r="G5" s="223"/>
    </row>
    <row r="6" spans="1:8">
      <c r="A6" s="222" t="s">
        <v>635</v>
      </c>
      <c r="E6" s="224"/>
      <c r="F6" s="225"/>
      <c r="G6" s="226">
        <f>28892448.9-16019</f>
        <v>28876429.899999999</v>
      </c>
      <c r="H6" s="228"/>
    </row>
    <row r="7" spans="1:8">
      <c r="A7" s="229" t="s">
        <v>587</v>
      </c>
      <c r="E7" s="224"/>
      <c r="F7" s="225"/>
      <c r="G7" s="226"/>
      <c r="H7" s="228"/>
    </row>
    <row r="8" spans="1:8">
      <c r="A8" s="229" t="s">
        <v>624</v>
      </c>
      <c r="E8" s="224"/>
      <c r="F8" s="225"/>
      <c r="G8" s="226">
        <v>266677.78000000562</v>
      </c>
      <c r="H8" s="228"/>
    </row>
    <row r="9" spans="1:8">
      <c r="A9" s="229" t="s">
        <v>730</v>
      </c>
      <c r="B9" s="230"/>
      <c r="C9" s="230"/>
      <c r="D9" s="230"/>
      <c r="E9" s="224"/>
      <c r="F9" s="225"/>
      <c r="G9" s="226">
        <v>31311.74</v>
      </c>
      <c r="H9" s="228"/>
    </row>
    <row r="10" spans="1:8">
      <c r="A10" s="229" t="s">
        <v>627</v>
      </c>
      <c r="B10" s="230"/>
      <c r="E10" s="224"/>
      <c r="F10" s="225"/>
      <c r="G10" s="231"/>
      <c r="H10" s="228"/>
    </row>
    <row r="11" spans="1:8">
      <c r="A11" s="232" t="s">
        <v>589</v>
      </c>
      <c r="E11" s="224"/>
      <c r="F11" s="225"/>
      <c r="G11" s="233">
        <f>SUM(G6:G10)</f>
        <v>29174419.420000002</v>
      </c>
      <c r="H11" s="228"/>
    </row>
    <row r="12" spans="1:8">
      <c r="E12" s="224"/>
      <c r="F12" s="225"/>
      <c r="G12" s="226"/>
      <c r="H12" s="228"/>
    </row>
    <row r="13" spans="1:8">
      <c r="A13" s="222" t="s">
        <v>590</v>
      </c>
      <c r="E13" s="224"/>
      <c r="F13" s="225"/>
      <c r="G13" s="226"/>
      <c r="H13" s="228"/>
    </row>
    <row r="14" spans="1:8">
      <c r="A14" s="229" t="s">
        <v>591</v>
      </c>
      <c r="E14" s="224"/>
      <c r="F14" s="225"/>
      <c r="G14" s="226">
        <v>-1271501</v>
      </c>
      <c r="H14" s="228"/>
    </row>
    <row r="15" spans="1:8">
      <c r="A15" s="229" t="s">
        <v>592</v>
      </c>
      <c r="E15" s="224"/>
      <c r="F15" s="225"/>
      <c r="G15" s="234">
        <v>808803.6400000006</v>
      </c>
      <c r="H15" s="228"/>
    </row>
    <row r="16" spans="1:8">
      <c r="A16" s="232" t="s">
        <v>593</v>
      </c>
      <c r="E16" s="224"/>
      <c r="F16" s="225"/>
      <c r="G16" s="233">
        <f>SUM(G14:G15)</f>
        <v>-462697.3599999994</v>
      </c>
      <c r="H16" s="228"/>
    </row>
    <row r="17" spans="1:8">
      <c r="E17" s="224"/>
      <c r="F17" s="224"/>
      <c r="G17" s="224"/>
    </row>
    <row r="18" spans="1:8" ht="13.5" thickBot="1">
      <c r="A18" s="236" t="s">
        <v>628</v>
      </c>
      <c r="B18" s="236"/>
      <c r="C18" s="236"/>
      <c r="D18" s="236"/>
      <c r="E18" s="237"/>
      <c r="F18" s="237"/>
      <c r="G18" s="238">
        <f>G11+G16</f>
        <v>28711722.060000002</v>
      </c>
      <c r="H18" s="226"/>
    </row>
    <row r="19" spans="1:8" ht="13.5" thickTop="1">
      <c r="E19" s="224"/>
      <c r="F19" s="224"/>
      <c r="G19" s="224"/>
    </row>
    <row r="20" spans="1:8">
      <c r="E20" s="224"/>
      <c r="F20" s="224"/>
      <c r="G20" s="224"/>
      <c r="H20" s="239"/>
    </row>
    <row r="21" spans="1:8">
      <c r="E21" s="224"/>
      <c r="F21" s="224"/>
      <c r="G21" s="224"/>
      <c r="H21" s="239"/>
    </row>
    <row r="22" spans="1:8">
      <c r="G22" s="239"/>
    </row>
    <row r="24" spans="1:8">
      <c r="F24" s="222" t="s">
        <v>506</v>
      </c>
    </row>
    <row r="27" spans="1:8">
      <c r="E27" s="236"/>
      <c r="F27" s="236" t="s">
        <v>507</v>
      </c>
    </row>
    <row r="28" spans="1:8">
      <c r="F28" s="222" t="s">
        <v>508</v>
      </c>
    </row>
    <row r="54" spans="1:7">
      <c r="A54" s="325"/>
      <c r="B54" s="325"/>
      <c r="C54" s="325"/>
      <c r="D54" s="325"/>
      <c r="E54" s="325"/>
      <c r="F54" s="325"/>
      <c r="G54" s="325"/>
    </row>
  </sheetData>
  <mergeCells count="5">
    <mergeCell ref="A1:G1"/>
    <mergeCell ref="A2:G2"/>
    <mergeCell ref="A3:G3"/>
    <mergeCell ref="A4:G4"/>
    <mergeCell ref="A54:G54"/>
  </mergeCells>
  <pageMargins left="0.75" right="0.75" top="1.25" bottom="1" header="0.5" footer="0.5"/>
  <pageSetup paperSize="9" orientation="portrait" horizont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54"/>
  <sheetViews>
    <sheetView zoomScale="120" zoomScaleNormal="120" workbookViewId="0">
      <selection activeCell="J20" sqref="J20"/>
    </sheetView>
  </sheetViews>
  <sheetFormatPr defaultRowHeight="12.75"/>
  <cols>
    <col min="1" max="3" width="9.140625" style="222" customWidth="1"/>
    <col min="4" max="4" width="12.7109375" style="222" customWidth="1"/>
    <col min="5" max="5" width="14.85546875" style="222" bestFit="1" customWidth="1"/>
    <col min="6" max="6" width="4.7109375" style="222" customWidth="1"/>
    <col min="7" max="7" width="17.85546875" style="222" customWidth="1"/>
    <col min="8" max="8" width="12.28515625" style="225" customWidth="1"/>
    <col min="9" max="16384" width="9.140625" style="222"/>
  </cols>
  <sheetData>
    <row r="1" spans="1:8">
      <c r="A1" s="325" t="s">
        <v>584</v>
      </c>
      <c r="B1" s="325"/>
      <c r="C1" s="325"/>
      <c r="D1" s="325"/>
      <c r="E1" s="325"/>
      <c r="F1" s="325"/>
      <c r="G1" s="325"/>
    </row>
    <row r="2" spans="1:8">
      <c r="A2" s="325" t="s">
        <v>636</v>
      </c>
      <c r="B2" s="325"/>
      <c r="C2" s="325"/>
      <c r="D2" s="325"/>
      <c r="E2" s="325"/>
      <c r="F2" s="325"/>
      <c r="G2" s="325"/>
    </row>
    <row r="3" spans="1:8">
      <c r="A3" s="325" t="s">
        <v>700</v>
      </c>
      <c r="B3" s="325"/>
      <c r="C3" s="325"/>
      <c r="D3" s="325"/>
      <c r="E3" s="325"/>
      <c r="F3" s="325"/>
      <c r="G3" s="325"/>
    </row>
    <row r="4" spans="1:8">
      <c r="A4" s="325"/>
      <c r="B4" s="325"/>
      <c r="C4" s="325"/>
      <c r="D4" s="325"/>
      <c r="E4" s="325"/>
      <c r="F4" s="325"/>
      <c r="G4" s="325"/>
    </row>
    <row r="5" spans="1:8">
      <c r="G5" s="223"/>
      <c r="H5" s="223"/>
    </row>
    <row r="6" spans="1:8">
      <c r="A6" s="222" t="s">
        <v>733</v>
      </c>
      <c r="E6" s="224"/>
      <c r="F6" s="225"/>
      <c r="G6" s="226">
        <v>16019</v>
      </c>
    </row>
    <row r="7" spans="1:8">
      <c r="A7" s="229" t="s">
        <v>587</v>
      </c>
      <c r="E7" s="224"/>
      <c r="F7" s="225"/>
      <c r="G7" s="226"/>
    </row>
    <row r="8" spans="1:8">
      <c r="A8" s="229" t="s">
        <v>588</v>
      </c>
      <c r="E8" s="224"/>
      <c r="F8" s="225"/>
      <c r="G8" s="226"/>
    </row>
    <row r="9" spans="1:8">
      <c r="A9" s="229" t="s">
        <v>624</v>
      </c>
      <c r="B9" s="230"/>
      <c r="C9" s="230"/>
      <c r="D9" s="230"/>
      <c r="E9" s="224"/>
      <c r="F9" s="225"/>
      <c r="G9" s="226"/>
    </row>
    <row r="10" spans="1:8">
      <c r="A10" s="229" t="s">
        <v>627</v>
      </c>
      <c r="B10" s="230"/>
      <c r="E10" s="224"/>
      <c r="F10" s="225"/>
      <c r="G10" s="231"/>
    </row>
    <row r="11" spans="1:8">
      <c r="A11" s="232" t="s">
        <v>589</v>
      </c>
      <c r="E11" s="224"/>
      <c r="F11" s="225"/>
      <c r="G11" s="233">
        <f>SUM(G6:G10)</f>
        <v>16019</v>
      </c>
      <c r="H11" s="227"/>
    </row>
    <row r="12" spans="1:8">
      <c r="E12" s="224"/>
      <c r="F12" s="225"/>
      <c r="G12" s="226"/>
    </row>
    <row r="13" spans="1:8">
      <c r="A13" s="222" t="s">
        <v>590</v>
      </c>
      <c r="E13" s="224"/>
      <c r="F13" s="225"/>
      <c r="G13" s="226"/>
    </row>
    <row r="14" spans="1:8">
      <c r="A14" s="229" t="s">
        <v>629</v>
      </c>
      <c r="E14" s="224"/>
      <c r="F14" s="225"/>
      <c r="G14" s="226"/>
    </row>
    <row r="15" spans="1:8">
      <c r="A15" s="229" t="s">
        <v>592</v>
      </c>
      <c r="E15" s="224"/>
      <c r="F15" s="225"/>
      <c r="G15" s="234"/>
    </row>
    <row r="16" spans="1:8">
      <c r="A16" s="232" t="s">
        <v>593</v>
      </c>
      <c r="E16" s="224"/>
      <c r="F16" s="225"/>
      <c r="G16" s="233">
        <f>SUM(G14:G15)</f>
        <v>0</v>
      </c>
      <c r="H16" s="263"/>
    </row>
    <row r="17" spans="1:8">
      <c r="E17" s="224"/>
      <c r="F17" s="224"/>
      <c r="G17" s="224"/>
    </row>
    <row r="18" spans="1:8" ht="13.5" thickBot="1">
      <c r="A18" s="236" t="s">
        <v>628</v>
      </c>
      <c r="B18" s="236"/>
      <c r="C18" s="236"/>
      <c r="D18" s="236"/>
      <c r="E18" s="237"/>
      <c r="F18" s="237"/>
      <c r="G18" s="238">
        <f>G11+G16</f>
        <v>16019</v>
      </c>
      <c r="H18" s="263"/>
    </row>
    <row r="19" spans="1:8" ht="13.5" thickTop="1">
      <c r="E19" s="224"/>
      <c r="F19" s="224"/>
      <c r="G19" s="224"/>
    </row>
    <row r="20" spans="1:8">
      <c r="E20" s="224"/>
      <c r="F20" s="224"/>
      <c r="G20" s="224"/>
    </row>
    <row r="21" spans="1:8">
      <c r="E21" s="224"/>
      <c r="F21" s="224"/>
      <c r="G21" s="224"/>
    </row>
    <row r="22" spans="1:8">
      <c r="G22" s="239"/>
    </row>
    <row r="24" spans="1:8">
      <c r="F24" s="222" t="s">
        <v>506</v>
      </c>
    </row>
    <row r="27" spans="1:8">
      <c r="E27" s="236"/>
      <c r="F27" s="236" t="s">
        <v>507</v>
      </c>
    </row>
    <row r="28" spans="1:8">
      <c r="F28" s="222" t="s">
        <v>508</v>
      </c>
    </row>
    <row r="54" spans="1:7">
      <c r="A54" s="325"/>
      <c r="B54" s="325"/>
      <c r="C54" s="325"/>
      <c r="D54" s="325"/>
      <c r="E54" s="325"/>
      <c r="F54" s="325"/>
      <c r="G54" s="325"/>
    </row>
  </sheetData>
  <mergeCells count="5">
    <mergeCell ref="A1:G1"/>
    <mergeCell ref="A2:G2"/>
    <mergeCell ref="A3:G3"/>
    <mergeCell ref="A4:G4"/>
    <mergeCell ref="A54:G54"/>
  </mergeCells>
  <pageMargins left="0.75" right="0.75" top="1.25" bottom="1" header="0.5" footer="0.5"/>
  <pageSetup paperSize="9" orientation="portrait" horizontalDpi="4294967295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36"/>
  <sheetViews>
    <sheetView topLeftCell="A28" zoomScale="110" zoomScaleNormal="110" workbookViewId="0">
      <selection activeCell="I39" sqref="I39"/>
    </sheetView>
  </sheetViews>
  <sheetFormatPr defaultRowHeight="12.75"/>
  <cols>
    <col min="1" max="1" width="9.85546875" style="264" bestFit="1" customWidth="1"/>
    <col min="2" max="2" width="49" style="264" customWidth="1"/>
    <col min="3" max="3" width="13.140625" style="289" customWidth="1"/>
    <col min="4" max="4" width="9.5703125" style="264" bestFit="1" customWidth="1"/>
    <col min="5" max="5" width="11.5703125" style="264" hidden="1" customWidth="1"/>
    <col min="6" max="6" width="11" style="264" hidden="1" customWidth="1"/>
    <col min="7" max="7" width="0" style="264" hidden="1" customWidth="1"/>
    <col min="8" max="16384" width="9.140625" style="264"/>
  </cols>
  <sheetData>
    <row r="1" spans="1:3">
      <c r="A1" s="326" t="s">
        <v>466</v>
      </c>
      <c r="B1" s="326"/>
      <c r="C1" s="326"/>
    </row>
    <row r="2" spans="1:3">
      <c r="A2" s="327" t="s">
        <v>467</v>
      </c>
      <c r="B2" s="327"/>
      <c r="C2" s="327"/>
    </row>
    <row r="3" spans="1:3">
      <c r="A3" s="327" t="s">
        <v>700</v>
      </c>
      <c r="B3" s="327"/>
      <c r="C3" s="327"/>
    </row>
    <row r="5" spans="1:3">
      <c r="A5" s="264" t="s">
        <v>468</v>
      </c>
      <c r="C5" s="265"/>
    </row>
    <row r="6" spans="1:3">
      <c r="C6" s="266"/>
    </row>
    <row r="7" spans="1:3">
      <c r="A7" s="267" t="s">
        <v>469</v>
      </c>
      <c r="C7" s="266"/>
    </row>
    <row r="8" spans="1:3">
      <c r="A8" s="268"/>
      <c r="C8" s="266"/>
    </row>
    <row r="9" spans="1:3">
      <c r="A9" s="268" t="s">
        <v>470</v>
      </c>
      <c r="C9" s="269">
        <f>SUM(C10:C11)</f>
        <v>6030000</v>
      </c>
    </row>
    <row r="10" spans="1:3">
      <c r="B10" s="270" t="s">
        <v>471</v>
      </c>
      <c r="C10" s="266">
        <v>6030000</v>
      </c>
    </row>
    <row r="11" spans="1:3">
      <c r="B11" s="270" t="s">
        <v>472</v>
      </c>
      <c r="C11" s="266"/>
    </row>
    <row r="12" spans="1:3">
      <c r="B12" s="271"/>
      <c r="C12" s="266"/>
    </row>
    <row r="13" spans="1:3">
      <c r="A13" s="268" t="s">
        <v>473</v>
      </c>
      <c r="C13" s="269">
        <f>C14</f>
        <v>1271501</v>
      </c>
    </row>
    <row r="14" spans="1:3">
      <c r="B14" s="270" t="s">
        <v>474</v>
      </c>
      <c r="C14" s="266">
        <v>1271501</v>
      </c>
    </row>
    <row r="15" spans="1:3">
      <c r="C15" s="272"/>
    </row>
    <row r="16" spans="1:3">
      <c r="A16" s="268" t="s">
        <v>475</v>
      </c>
      <c r="C16" s="273">
        <f>SUM(C17:C18)</f>
        <v>29314.15</v>
      </c>
    </row>
    <row r="17" spans="1:4">
      <c r="B17" s="270" t="s">
        <v>476</v>
      </c>
      <c r="C17" s="272">
        <v>29059.15</v>
      </c>
    </row>
    <row r="18" spans="1:4">
      <c r="B18" s="270" t="s">
        <v>620</v>
      </c>
      <c r="C18" s="272">
        <f>(150)+105</f>
        <v>255</v>
      </c>
    </row>
    <row r="19" spans="1:4">
      <c r="B19" s="264" t="s">
        <v>630</v>
      </c>
      <c r="C19" s="272">
        <v>154186.94</v>
      </c>
    </row>
    <row r="20" spans="1:4">
      <c r="B20" s="264" t="s">
        <v>631</v>
      </c>
      <c r="C20" s="272"/>
    </row>
    <row r="21" spans="1:4">
      <c r="B21" s="264" t="s">
        <v>632</v>
      </c>
      <c r="C21" s="272"/>
    </row>
    <row r="22" spans="1:4">
      <c r="B22" s="270"/>
      <c r="C22" s="272"/>
    </row>
    <row r="23" spans="1:4">
      <c r="A23" s="268"/>
      <c r="B23" s="270"/>
      <c r="C23" s="273">
        <f>C25</f>
        <v>0</v>
      </c>
    </row>
    <row r="24" spans="1:4">
      <c r="A24" s="268" t="s">
        <v>477</v>
      </c>
      <c r="B24" s="270"/>
      <c r="C24" s="272"/>
    </row>
    <row r="25" spans="1:4" ht="15">
      <c r="A25" s="268"/>
      <c r="B25" s="270" t="s">
        <v>478</v>
      </c>
      <c r="C25" s="272"/>
      <c r="D25" s="274"/>
    </row>
    <row r="26" spans="1:4">
      <c r="C26" s="272"/>
    </row>
    <row r="27" spans="1:4">
      <c r="A27" s="267" t="s">
        <v>479</v>
      </c>
      <c r="C27" s="275">
        <f>C9+C13+C16+C23</f>
        <v>7330815.1500000004</v>
      </c>
    </row>
    <row r="28" spans="1:4">
      <c r="C28" s="272"/>
    </row>
    <row r="29" spans="1:4">
      <c r="A29" s="267" t="s">
        <v>480</v>
      </c>
      <c r="C29" s="272"/>
    </row>
    <row r="30" spans="1:4">
      <c r="C30" s="272"/>
    </row>
    <row r="31" spans="1:4">
      <c r="A31" s="268" t="s">
        <v>734</v>
      </c>
      <c r="C31" s="272">
        <f>255-105</f>
        <v>150</v>
      </c>
    </row>
    <row r="32" spans="1:4">
      <c r="A32" s="268" t="s">
        <v>481</v>
      </c>
      <c r="C32" s="269">
        <f>((1271501)+29059.15)-154186.94</f>
        <v>1146373.21</v>
      </c>
    </row>
    <row r="33" spans="1:6">
      <c r="B33" s="276"/>
      <c r="C33" s="266"/>
    </row>
    <row r="34" spans="1:6">
      <c r="A34" s="268" t="s">
        <v>482</v>
      </c>
      <c r="C34" s="269">
        <f>SUM(C35:C36)</f>
        <v>3900515.8700000006</v>
      </c>
    </row>
    <row r="35" spans="1:6">
      <c r="B35" s="270" t="s">
        <v>483</v>
      </c>
      <c r="C35" s="266">
        <f>((3789448.33)-1327032.43)-287612.86</f>
        <v>2174803.0400000005</v>
      </c>
    </row>
    <row r="36" spans="1:6">
      <c r="B36" s="264" t="s">
        <v>484</v>
      </c>
      <c r="C36" s="277">
        <f>((2239379.33)-499559)-14107.5</f>
        <v>1725712.83</v>
      </c>
      <c r="F36" s="276"/>
    </row>
    <row r="37" spans="1:6">
      <c r="C37" s="272"/>
    </row>
    <row r="38" spans="1:6">
      <c r="A38" s="268" t="s">
        <v>485</v>
      </c>
      <c r="C38" s="273">
        <f>C39</f>
        <v>114336.93999999965</v>
      </c>
      <c r="E38" s="276"/>
    </row>
    <row r="39" spans="1:6">
      <c r="B39" s="270" t="s">
        <v>486</v>
      </c>
      <c r="C39" s="266">
        <f>(114648.57)-311.630000000353</f>
        <v>114336.93999999965</v>
      </c>
      <c r="E39" s="235">
        <v>81691.5</v>
      </c>
      <c r="F39" s="264" t="s">
        <v>735</v>
      </c>
    </row>
    <row r="40" spans="1:6">
      <c r="A40" s="278"/>
      <c r="B40" s="278"/>
      <c r="C40" s="266"/>
      <c r="E40" s="235">
        <v>196340.07</v>
      </c>
      <c r="F40" s="264" t="s">
        <v>736</v>
      </c>
    </row>
    <row r="41" spans="1:6">
      <c r="A41" s="268" t="s">
        <v>487</v>
      </c>
      <c r="B41" s="278"/>
      <c r="C41" s="269">
        <f>SUM(C42:C44)</f>
        <v>499559</v>
      </c>
    </row>
    <row r="42" spans="1:6">
      <c r="A42" s="268"/>
      <c r="B42" s="278" t="s">
        <v>488</v>
      </c>
      <c r="C42" s="266">
        <v>40000</v>
      </c>
      <c r="E42" s="276">
        <f>E40-E39</f>
        <v>114648.57</v>
      </c>
      <c r="F42" s="276">
        <f>E42+E88</f>
        <v>114648.57</v>
      </c>
    </row>
    <row r="43" spans="1:6">
      <c r="A43" s="279"/>
      <c r="B43" s="278" t="s">
        <v>489</v>
      </c>
      <c r="C43" s="266">
        <v>258228</v>
      </c>
    </row>
    <row r="44" spans="1:6">
      <c r="B44" s="264" t="s">
        <v>490</v>
      </c>
      <c r="C44" s="266">
        <v>201331</v>
      </c>
    </row>
    <row r="45" spans="1:6">
      <c r="C45" s="266"/>
    </row>
    <row r="46" spans="1:6">
      <c r="A46" s="268" t="s">
        <v>491</v>
      </c>
      <c r="C46" s="269">
        <f>SUM(C47:C48)</f>
        <v>14107.5</v>
      </c>
    </row>
    <row r="47" spans="1:6">
      <c r="B47" s="264" t="s">
        <v>303</v>
      </c>
      <c r="C47" s="266"/>
    </row>
    <row r="48" spans="1:6">
      <c r="B48" s="264" t="s">
        <v>304</v>
      </c>
      <c r="C48" s="280">
        <v>14107.5</v>
      </c>
    </row>
    <row r="49" spans="1:5">
      <c r="A49" s="268"/>
      <c r="C49" s="266"/>
    </row>
    <row r="50" spans="1:5">
      <c r="A50" s="268" t="s">
        <v>492</v>
      </c>
      <c r="C50" s="269"/>
      <c r="E50" s="235"/>
    </row>
    <row r="51" spans="1:5">
      <c r="A51" s="268"/>
      <c r="C51" s="266"/>
    </row>
    <row r="52" spans="1:5">
      <c r="A52" s="281" t="s">
        <v>493</v>
      </c>
      <c r="C52" s="269">
        <f>SUM(C53:C54)</f>
        <v>1614645.29</v>
      </c>
      <c r="E52" s="276"/>
    </row>
    <row r="53" spans="1:5">
      <c r="B53" s="264" t="s">
        <v>494</v>
      </c>
      <c r="C53" s="266">
        <v>1327032.43</v>
      </c>
    </row>
    <row r="54" spans="1:5">
      <c r="B54" s="264" t="s">
        <v>495</v>
      </c>
      <c r="C54" s="266">
        <v>287612.86</v>
      </c>
    </row>
    <row r="55" spans="1:5">
      <c r="C55" s="266"/>
    </row>
    <row r="56" spans="1:5">
      <c r="A56" s="268" t="s">
        <v>496</v>
      </c>
      <c r="C56" s="269">
        <v>1172.339999999851</v>
      </c>
      <c r="D56" s="276"/>
    </row>
    <row r="57" spans="1:5">
      <c r="C57" s="266"/>
    </row>
    <row r="58" spans="1:5">
      <c r="A58" s="267" t="s">
        <v>497</v>
      </c>
      <c r="C58" s="282">
        <f>C32+C34+C38+C41+C46+C50+C52+C56</f>
        <v>7290710.1499999994</v>
      </c>
    </row>
    <row r="59" spans="1:5">
      <c r="C59" s="266"/>
    </row>
    <row r="60" spans="1:5">
      <c r="C60" s="266"/>
    </row>
    <row r="61" spans="1:5">
      <c r="A61" s="283" t="s">
        <v>498</v>
      </c>
      <c r="C61" s="282">
        <f>C27-C58</f>
        <v>40105.000000000931</v>
      </c>
    </row>
    <row r="62" spans="1:5">
      <c r="C62" s="266"/>
    </row>
    <row r="63" spans="1:5">
      <c r="C63" s="266"/>
    </row>
    <row r="64" spans="1:5">
      <c r="C64" s="266"/>
    </row>
    <row r="65" spans="1:3">
      <c r="C65" s="266"/>
    </row>
    <row r="66" spans="1:3">
      <c r="C66" s="266"/>
    </row>
    <row r="67" spans="1:3">
      <c r="C67" s="266"/>
    </row>
    <row r="68" spans="1:3">
      <c r="C68" s="266"/>
    </row>
    <row r="69" spans="1:3">
      <c r="C69" s="266"/>
    </row>
    <row r="70" spans="1:3">
      <c r="A70" s="264" t="s">
        <v>499</v>
      </c>
      <c r="C70" s="266"/>
    </row>
    <row r="71" spans="1:3">
      <c r="C71" s="266"/>
    </row>
    <row r="72" spans="1:3">
      <c r="A72" s="267" t="s">
        <v>480</v>
      </c>
      <c r="C72" s="266"/>
    </row>
    <row r="73" spans="1:3">
      <c r="C73" s="266"/>
    </row>
    <row r="74" spans="1:3">
      <c r="A74" s="268" t="s">
        <v>500</v>
      </c>
      <c r="C74" s="269">
        <f>C75+C76</f>
        <v>0</v>
      </c>
    </row>
    <row r="75" spans="1:3">
      <c r="B75" s="264" t="s">
        <v>501</v>
      </c>
      <c r="C75" s="277"/>
    </row>
    <row r="76" spans="1:3">
      <c r="B76" s="264" t="s">
        <v>502</v>
      </c>
      <c r="C76" s="266"/>
    </row>
    <row r="77" spans="1:3">
      <c r="C77" s="266"/>
    </row>
    <row r="78" spans="1:3">
      <c r="A78" s="267" t="s">
        <v>497</v>
      </c>
      <c r="C78" s="284">
        <f>C74</f>
        <v>0</v>
      </c>
    </row>
    <row r="79" spans="1:3">
      <c r="C79" s="266"/>
    </row>
    <row r="80" spans="1:3">
      <c r="C80" s="266"/>
    </row>
    <row r="81" spans="1:5">
      <c r="A81" s="283" t="s">
        <v>503</v>
      </c>
      <c r="C81" s="282">
        <f>-C78</f>
        <v>0</v>
      </c>
    </row>
    <row r="82" spans="1:5">
      <c r="C82" s="266"/>
    </row>
    <row r="83" spans="1:5">
      <c r="A83" s="264" t="s">
        <v>504</v>
      </c>
      <c r="C83" s="266">
        <f>C61+C81</f>
        <v>40105.000000000931</v>
      </c>
    </row>
    <row r="84" spans="1:5">
      <c r="C84" s="266"/>
    </row>
    <row r="85" spans="1:5">
      <c r="A85" s="264" t="s">
        <v>634</v>
      </c>
      <c r="C85" s="269">
        <v>662458.87</v>
      </c>
    </row>
    <row r="86" spans="1:5">
      <c r="C86" s="266"/>
    </row>
    <row r="87" spans="1:5" ht="13.5" thickBot="1">
      <c r="A87" s="264" t="s">
        <v>633</v>
      </c>
      <c r="C87" s="285">
        <f>C83+C85</f>
        <v>702563.87000000093</v>
      </c>
      <c r="E87" s="235"/>
    </row>
    <row r="88" spans="1:5" ht="13.5" thickTop="1">
      <c r="C88" s="266"/>
      <c r="E88" s="276"/>
    </row>
    <row r="89" spans="1:5">
      <c r="C89" s="266"/>
      <c r="D89" s="276"/>
    </row>
    <row r="90" spans="1:5">
      <c r="C90" s="266"/>
    </row>
    <row r="91" spans="1:5">
      <c r="C91" s="286"/>
      <c r="D91" s="276"/>
    </row>
    <row r="92" spans="1:5">
      <c r="A92" s="276"/>
      <c r="B92" s="287" t="s">
        <v>506</v>
      </c>
      <c r="C92" s="286"/>
    </row>
    <row r="93" spans="1:5">
      <c r="A93" s="276"/>
      <c r="B93" s="287"/>
      <c r="C93" s="286"/>
      <c r="D93" s="276"/>
    </row>
    <row r="94" spans="1:5">
      <c r="B94" s="276"/>
      <c r="C94" s="288" t="s">
        <v>507</v>
      </c>
    </row>
    <row r="95" spans="1:5">
      <c r="C95" s="286" t="s">
        <v>508</v>
      </c>
    </row>
    <row r="96" spans="1:5">
      <c r="C96" s="266"/>
    </row>
    <row r="97" spans="3:3">
      <c r="C97" s="266"/>
    </row>
    <row r="98" spans="3:3">
      <c r="C98" s="266"/>
    </row>
    <row r="99" spans="3:3">
      <c r="C99" s="266"/>
    </row>
    <row r="100" spans="3:3">
      <c r="C100" s="266"/>
    </row>
    <row r="101" spans="3:3">
      <c r="C101" s="266"/>
    </row>
    <row r="102" spans="3:3">
      <c r="C102" s="266"/>
    </row>
    <row r="103" spans="3:3">
      <c r="C103" s="266"/>
    </row>
    <row r="104" spans="3:3">
      <c r="C104" s="266"/>
    </row>
    <row r="105" spans="3:3">
      <c r="C105" s="266"/>
    </row>
    <row r="106" spans="3:3">
      <c r="C106" s="266"/>
    </row>
    <row r="107" spans="3:3">
      <c r="C107" s="266"/>
    </row>
    <row r="108" spans="3:3">
      <c r="C108" s="266"/>
    </row>
    <row r="109" spans="3:3">
      <c r="C109" s="266"/>
    </row>
    <row r="110" spans="3:3">
      <c r="C110" s="266"/>
    </row>
    <row r="111" spans="3:3">
      <c r="C111" s="266"/>
    </row>
    <row r="112" spans="3:3">
      <c r="C112" s="266"/>
    </row>
    <row r="113" spans="3:3">
      <c r="C113" s="266"/>
    </row>
    <row r="114" spans="3:3">
      <c r="C114" s="266"/>
    </row>
    <row r="115" spans="3:3">
      <c r="C115" s="266"/>
    </row>
    <row r="116" spans="3:3">
      <c r="C116" s="266"/>
    </row>
    <row r="117" spans="3:3">
      <c r="C117" s="266"/>
    </row>
    <row r="118" spans="3:3">
      <c r="C118" s="266"/>
    </row>
    <row r="119" spans="3:3">
      <c r="C119" s="266"/>
    </row>
    <row r="120" spans="3:3">
      <c r="C120" s="266"/>
    </row>
    <row r="121" spans="3:3">
      <c r="C121" s="266"/>
    </row>
    <row r="122" spans="3:3">
      <c r="C122" s="266"/>
    </row>
    <row r="123" spans="3:3">
      <c r="C123" s="266"/>
    </row>
    <row r="124" spans="3:3">
      <c r="C124" s="266"/>
    </row>
    <row r="125" spans="3:3">
      <c r="C125" s="266"/>
    </row>
    <row r="126" spans="3:3">
      <c r="C126" s="266"/>
    </row>
    <row r="127" spans="3:3">
      <c r="C127" s="266"/>
    </row>
    <row r="128" spans="3:3">
      <c r="C128" s="266"/>
    </row>
    <row r="129" spans="3:3">
      <c r="C129" s="266"/>
    </row>
    <row r="130" spans="3:3">
      <c r="C130" s="266"/>
    </row>
    <row r="131" spans="3:3">
      <c r="C131" s="266"/>
    </row>
    <row r="132" spans="3:3">
      <c r="C132" s="266"/>
    </row>
    <row r="133" spans="3:3">
      <c r="C133" s="266"/>
    </row>
    <row r="134" spans="3:3">
      <c r="C134" s="266"/>
    </row>
    <row r="135" spans="3:3">
      <c r="C135" s="266"/>
    </row>
    <row r="136" spans="3:3">
      <c r="C136" s="266"/>
    </row>
  </sheetData>
  <mergeCells count="3">
    <mergeCell ref="A1:C1"/>
    <mergeCell ref="A2:C2"/>
    <mergeCell ref="A3:C3"/>
  </mergeCells>
  <pageMargins left="1" right="0.25" top="0.5" bottom="0.25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32"/>
  <sheetViews>
    <sheetView topLeftCell="A7" zoomScale="110" zoomScaleNormal="110" workbookViewId="0">
      <selection activeCell="G18" sqref="G18"/>
    </sheetView>
  </sheetViews>
  <sheetFormatPr defaultRowHeight="12.75"/>
  <cols>
    <col min="1" max="1" width="9.85546875" style="91" bestFit="1" customWidth="1"/>
    <col min="2" max="2" width="49" style="91" customWidth="1"/>
    <col min="3" max="3" width="13.140625" style="141" customWidth="1"/>
    <col min="4" max="4" width="12.7109375" style="56" customWidth="1"/>
    <col min="5" max="5" width="14.7109375" style="91" customWidth="1"/>
    <col min="6" max="6" width="14.85546875" style="58" customWidth="1"/>
    <col min="7" max="7" width="13.140625" style="140" customWidth="1"/>
    <col min="8" max="8" width="13.85546875" style="91" customWidth="1"/>
    <col min="9" max="16384" width="9.140625" style="91"/>
  </cols>
  <sheetData>
    <row r="1" spans="1:8">
      <c r="A1" s="323" t="s">
        <v>466</v>
      </c>
      <c r="B1" s="323"/>
      <c r="C1" s="323"/>
      <c r="G1" s="156"/>
    </row>
    <row r="2" spans="1:8">
      <c r="A2" s="322" t="s">
        <v>467</v>
      </c>
      <c r="B2" s="322"/>
      <c r="C2" s="322"/>
      <c r="G2" s="156"/>
    </row>
    <row r="3" spans="1:8">
      <c r="A3" s="322" t="s">
        <v>510</v>
      </c>
      <c r="B3" s="322"/>
      <c r="C3" s="322"/>
      <c r="G3" s="156"/>
    </row>
    <row r="5" spans="1:8">
      <c r="A5" s="91" t="s">
        <v>468</v>
      </c>
    </row>
    <row r="6" spans="1:8">
      <c r="C6" s="120"/>
      <c r="G6" s="142"/>
    </row>
    <row r="7" spans="1:8">
      <c r="A7" s="122" t="s">
        <v>469</v>
      </c>
      <c r="C7" s="120"/>
      <c r="G7" s="142"/>
    </row>
    <row r="8" spans="1:8">
      <c r="A8" s="121"/>
      <c r="C8" s="120"/>
      <c r="G8" s="142"/>
    </row>
    <row r="9" spans="1:8">
      <c r="A9" s="60" t="s">
        <v>470</v>
      </c>
      <c r="B9" s="57"/>
      <c r="C9" s="61">
        <f>SUM(C10:C11)</f>
        <v>39012891</v>
      </c>
      <c r="D9" s="56">
        <f>SUM(D10:D11)</f>
        <v>7226215</v>
      </c>
      <c r="G9" s="149">
        <f>SUM(G10:G11)</f>
        <v>15663188</v>
      </c>
    </row>
    <row r="10" spans="1:8">
      <c r="A10" s="57"/>
      <c r="B10" s="62" t="s">
        <v>471</v>
      </c>
      <c r="C10" s="59">
        <v>35978872</v>
      </c>
      <c r="D10" s="56">
        <v>6665000</v>
      </c>
      <c r="E10" s="107">
        <f>C10+D10</f>
        <v>42643872</v>
      </c>
      <c r="F10" s="58">
        <v>21870445</v>
      </c>
      <c r="G10" s="142">
        <f>5714000+8423000+1200230</f>
        <v>15337230</v>
      </c>
      <c r="H10" s="107">
        <f>G10+D10</f>
        <v>22002230</v>
      </c>
    </row>
    <row r="11" spans="1:8">
      <c r="A11" s="57"/>
      <c r="B11" s="62" t="s">
        <v>472</v>
      </c>
      <c r="C11" s="59">
        <v>3034019</v>
      </c>
      <c r="D11" s="56">
        <f>87215+158000+158000+158000</f>
        <v>561215</v>
      </c>
      <c r="E11" s="107">
        <f>C11+D11</f>
        <v>3595234</v>
      </c>
      <c r="F11" s="58">
        <v>887173</v>
      </c>
      <c r="G11" s="142">
        <f>292688+33270</f>
        <v>325958</v>
      </c>
      <c r="H11" s="107">
        <f>G11+D11</f>
        <v>887173</v>
      </c>
    </row>
    <row r="12" spans="1:8">
      <c r="B12" s="92"/>
      <c r="C12" s="120"/>
      <c r="G12" s="142"/>
    </row>
    <row r="13" spans="1:8">
      <c r="A13" s="121" t="s">
        <v>473</v>
      </c>
      <c r="C13" s="81">
        <f>C14</f>
        <v>5127445</v>
      </c>
      <c r="E13" s="107"/>
      <c r="G13" s="149">
        <f>G14</f>
        <v>2468105</v>
      </c>
    </row>
    <row r="14" spans="1:8">
      <c r="B14" s="155" t="s">
        <v>474</v>
      </c>
      <c r="C14" s="120">
        <v>5127445</v>
      </c>
      <c r="D14" s="56">
        <v>1295287</v>
      </c>
      <c r="E14" s="107">
        <f>C14+D14</f>
        <v>6422732</v>
      </c>
      <c r="F14" s="58">
        <v>3763392</v>
      </c>
      <c r="G14" s="142">
        <v>2468105</v>
      </c>
      <c r="H14" s="107">
        <f>G14+D14</f>
        <v>3763392</v>
      </c>
    </row>
    <row r="15" spans="1:8">
      <c r="C15" s="63"/>
      <c r="E15" s="107">
        <f>C15+D15</f>
        <v>0</v>
      </c>
      <c r="F15" s="58">
        <v>0</v>
      </c>
      <c r="G15" s="64"/>
    </row>
    <row r="16" spans="1:8">
      <c r="A16" s="121" t="s">
        <v>475</v>
      </c>
      <c r="C16" s="65">
        <f>SUM(C17:C18)</f>
        <v>75038.989999999991</v>
      </c>
      <c r="G16" s="66">
        <f>SUM(G17:G18)</f>
        <v>18842.059999999998</v>
      </c>
    </row>
    <row r="17" spans="1:9">
      <c r="B17" s="155" t="s">
        <v>476</v>
      </c>
      <c r="C17" s="63">
        <v>75038.989999999991</v>
      </c>
      <c r="D17" s="67">
        <v>11721.18</v>
      </c>
      <c r="E17" s="107">
        <f>C17+D17</f>
        <v>86760.169999999984</v>
      </c>
      <c r="F17" s="58">
        <v>29873.239999999998</v>
      </c>
      <c r="G17" s="64">
        <f>3429+14723.06</f>
        <v>18152.059999999998</v>
      </c>
      <c r="H17" s="107">
        <f>G17+D17</f>
        <v>29873.239999999998</v>
      </c>
    </row>
    <row r="18" spans="1:9">
      <c r="B18" s="155" t="s">
        <v>620</v>
      </c>
      <c r="C18" s="63"/>
      <c r="D18" s="67">
        <v>525</v>
      </c>
      <c r="E18" s="107">
        <f>C18+D18</f>
        <v>525</v>
      </c>
      <c r="F18" s="58">
        <v>1215</v>
      </c>
      <c r="G18" s="64">
        <f>405+285</f>
        <v>690</v>
      </c>
      <c r="H18" s="107">
        <f>G18+D18</f>
        <v>1215</v>
      </c>
    </row>
    <row r="19" spans="1:9">
      <c r="B19" s="155"/>
      <c r="C19" s="63"/>
      <c r="G19" s="64"/>
    </row>
    <row r="20" spans="1:9">
      <c r="A20" s="121"/>
      <c r="B20" s="155"/>
      <c r="C20" s="65">
        <f>C22</f>
        <v>38460.708600003003</v>
      </c>
      <c r="G20" s="66">
        <f>G22</f>
        <v>1295.0876000001999</v>
      </c>
    </row>
    <row r="21" spans="1:9">
      <c r="A21" s="121" t="s">
        <v>477</v>
      </c>
      <c r="B21" s="155"/>
      <c r="C21" s="63"/>
      <c r="G21" s="64"/>
    </row>
    <row r="22" spans="1:9">
      <c r="A22" s="121"/>
      <c r="B22" s="155" t="s">
        <v>478</v>
      </c>
      <c r="C22" s="63">
        <v>38460.708600003003</v>
      </c>
      <c r="D22" s="67">
        <f>5398.12*2</f>
        <v>10796.24</v>
      </c>
      <c r="E22" s="107">
        <f>C22+D22</f>
        <v>49256.948600003001</v>
      </c>
      <c r="F22" s="58">
        <v>1295.0876000001999</v>
      </c>
      <c r="G22" s="64">
        <v>1295.0876000001999</v>
      </c>
      <c r="H22" s="107">
        <f>G22+D22</f>
        <v>12091.327600000201</v>
      </c>
    </row>
    <row r="23" spans="1:9">
      <c r="C23" s="63"/>
      <c r="G23" s="64"/>
    </row>
    <row r="24" spans="1:9">
      <c r="A24" s="122" t="s">
        <v>479</v>
      </c>
      <c r="C24" s="68">
        <f>C9+C13+C16+C20</f>
        <v>44253835.698600002</v>
      </c>
      <c r="G24" s="69">
        <f>G9+G13+G16+G20</f>
        <v>18151430.147599999</v>
      </c>
    </row>
    <row r="25" spans="1:9">
      <c r="C25" s="63"/>
      <c r="G25" s="64"/>
    </row>
    <row r="26" spans="1:9">
      <c r="A26" s="122" t="s">
        <v>480</v>
      </c>
      <c r="C26" s="63"/>
      <c r="G26" s="64"/>
    </row>
    <row r="27" spans="1:9">
      <c r="C27" s="63"/>
      <c r="G27" s="64"/>
    </row>
    <row r="28" spans="1:9">
      <c r="A28" s="121" t="s">
        <v>481</v>
      </c>
      <c r="C28" s="81">
        <v>5127445</v>
      </c>
      <c r="D28" s="56">
        <f>D14+D17+D18</f>
        <v>1307533.18</v>
      </c>
      <c r="E28" s="107">
        <f>C28+D28</f>
        <v>6434978.1799999997</v>
      </c>
      <c r="F28" s="58">
        <v>3794390.24</v>
      </c>
      <c r="G28" s="149">
        <v>2486857.06</v>
      </c>
      <c r="H28" s="107">
        <f>G28+D28</f>
        <v>3794390.24</v>
      </c>
    </row>
    <row r="29" spans="1:9">
      <c r="B29" s="107"/>
      <c r="C29" s="120"/>
      <c r="G29" s="142"/>
    </row>
    <row r="30" spans="1:9">
      <c r="A30" s="121" t="s">
        <v>482</v>
      </c>
      <c r="C30" s="81">
        <f>SUM(C31:C32)</f>
        <v>28032276.511000004</v>
      </c>
      <c r="G30" s="149">
        <f>SUM(G31:G32)</f>
        <v>9930120.2599999998</v>
      </c>
    </row>
    <row r="31" spans="1:9">
      <c r="B31" s="155" t="s">
        <v>483</v>
      </c>
      <c r="C31" s="120">
        <v>19512418.829999998</v>
      </c>
      <c r="D31" s="70">
        <v>2012001.4899999998</v>
      </c>
      <c r="E31" s="107">
        <f>C31+D31</f>
        <v>21524420.319999997</v>
      </c>
      <c r="F31" s="58">
        <v>8089695.1899999995</v>
      </c>
      <c r="G31" s="142">
        <v>6077693.7000000002</v>
      </c>
      <c r="H31" s="107">
        <f>G31+D31</f>
        <v>8089695.1899999995</v>
      </c>
      <c r="I31" s="158" t="s">
        <v>621</v>
      </c>
    </row>
    <row r="32" spans="1:9">
      <c r="B32" s="91" t="s">
        <v>484</v>
      </c>
      <c r="C32" s="56">
        <v>8519857.6810000055</v>
      </c>
      <c r="D32" s="70">
        <v>1848560.8900000004</v>
      </c>
      <c r="E32" s="107">
        <f>C32+D32</f>
        <v>10368418.571000006</v>
      </c>
      <c r="F32" s="58">
        <v>5700987.4500000002</v>
      </c>
      <c r="G32" s="71">
        <v>3852426.56</v>
      </c>
      <c r="H32" s="107">
        <f>G32+D32</f>
        <v>5700987.4500000002</v>
      </c>
      <c r="I32" s="158" t="s">
        <v>621</v>
      </c>
    </row>
    <row r="33" spans="1:9">
      <c r="C33" s="63"/>
      <c r="G33" s="64"/>
    </row>
    <row r="34" spans="1:9">
      <c r="A34" s="121" t="s">
        <v>485</v>
      </c>
      <c r="C34" s="65">
        <f>C35</f>
        <v>1066252.98</v>
      </c>
      <c r="G34" s="66">
        <f>G35</f>
        <v>340514.62</v>
      </c>
    </row>
    <row r="35" spans="1:9">
      <c r="B35" s="155" t="s">
        <v>486</v>
      </c>
      <c r="C35" s="120">
        <f>(916012.56+'[2]3rd Q_2015_fund151'!C35)+139240.42</f>
        <v>1066252.98</v>
      </c>
      <c r="D35" s="70">
        <v>575497.93999999994</v>
      </c>
      <c r="E35" s="107">
        <f>C35+D35</f>
        <v>1641750.92</v>
      </c>
      <c r="F35" s="58">
        <v>916012.55999999994</v>
      </c>
      <c r="G35" s="142">
        <v>340514.62</v>
      </c>
      <c r="H35" s="107">
        <f>G35+D35</f>
        <v>916012.55999999994</v>
      </c>
      <c r="I35" s="158" t="s">
        <v>623</v>
      </c>
    </row>
    <row r="36" spans="1:9">
      <c r="A36" s="106"/>
      <c r="B36" s="106"/>
      <c r="C36" s="120"/>
      <c r="G36" s="142"/>
    </row>
    <row r="37" spans="1:9" hidden="1">
      <c r="A37" s="121" t="s">
        <v>487</v>
      </c>
      <c r="B37" s="106"/>
      <c r="C37" s="81">
        <f>SUM(C38:C40)</f>
        <v>0</v>
      </c>
      <c r="G37" s="149">
        <f>SUM(G38:G40)</f>
        <v>234061.99999999977</v>
      </c>
    </row>
    <row r="38" spans="1:9" hidden="1">
      <c r="A38" s="121"/>
      <c r="B38" s="106" t="s">
        <v>488</v>
      </c>
      <c r="C38" s="120"/>
      <c r="E38" s="107">
        <f>C38+D38</f>
        <v>0</v>
      </c>
      <c r="F38" s="58">
        <v>40000</v>
      </c>
      <c r="G38" s="142">
        <v>40000</v>
      </c>
      <c r="H38" s="107">
        <f>G38+D38</f>
        <v>40000</v>
      </c>
    </row>
    <row r="39" spans="1:9" hidden="1">
      <c r="A39" s="154"/>
      <c r="B39" s="106" t="s">
        <v>489</v>
      </c>
      <c r="C39" s="120"/>
      <c r="E39" s="107">
        <f>C39+D39</f>
        <v>0</v>
      </c>
      <c r="F39" s="58">
        <v>109974.99999999977</v>
      </c>
      <c r="G39" s="142">
        <v>109974.99999999977</v>
      </c>
      <c r="H39" s="107">
        <f>G39+D39</f>
        <v>109974.99999999977</v>
      </c>
    </row>
    <row r="40" spans="1:9" hidden="1">
      <c r="B40" s="91" t="s">
        <v>490</v>
      </c>
      <c r="C40" s="120"/>
      <c r="D40" s="70">
        <v>93650</v>
      </c>
      <c r="E40" s="107">
        <f>C40+D40</f>
        <v>93650</v>
      </c>
      <c r="F40" s="58">
        <v>177737</v>
      </c>
      <c r="G40" s="142">
        <v>84087</v>
      </c>
      <c r="H40" s="107">
        <f>G40+D40</f>
        <v>177737</v>
      </c>
    </row>
    <row r="41" spans="1:9" hidden="1">
      <c r="C41" s="120"/>
      <c r="G41" s="142"/>
    </row>
    <row r="42" spans="1:9">
      <c r="A42" s="121" t="s">
        <v>491</v>
      </c>
      <c r="C42" s="81">
        <f>SUM(C43:C44)</f>
        <v>96002.25</v>
      </c>
      <c r="G42" s="149">
        <f>SUM(G43:G44)</f>
        <v>77304.17</v>
      </c>
    </row>
    <row r="43" spans="1:9">
      <c r="B43" s="91" t="s">
        <v>303</v>
      </c>
      <c r="C43" s="120">
        <v>5398.12</v>
      </c>
      <c r="D43" s="70">
        <v>5398.12</v>
      </c>
      <c r="E43" s="107">
        <f>C43+D43</f>
        <v>10796.24</v>
      </c>
      <c r="F43" s="58">
        <v>5398.12</v>
      </c>
      <c r="G43" s="142">
        <v>0</v>
      </c>
      <c r="H43" s="107">
        <f>G43+D43</f>
        <v>5398.12</v>
      </c>
      <c r="I43" s="158" t="s">
        <v>622</v>
      </c>
    </row>
    <row r="44" spans="1:9">
      <c r="B44" s="91" t="s">
        <v>304</v>
      </c>
      <c r="C44" s="157">
        <v>90604.13</v>
      </c>
      <c r="D44" s="70">
        <v>10674.96</v>
      </c>
      <c r="E44" s="107">
        <f>C44+D44</f>
        <v>101279.09</v>
      </c>
      <c r="F44" s="58">
        <v>87979.13</v>
      </c>
      <c r="G44" s="153">
        <v>77304.17</v>
      </c>
      <c r="H44" s="107">
        <f>G44+D44</f>
        <v>87979.13</v>
      </c>
      <c r="I44" s="158" t="s">
        <v>622</v>
      </c>
    </row>
    <row r="45" spans="1:9">
      <c r="A45" s="121"/>
      <c r="C45" s="120"/>
      <c r="G45" s="142"/>
    </row>
    <row r="46" spans="1:9">
      <c r="A46" s="121" t="s">
        <v>492</v>
      </c>
      <c r="C46" s="81">
        <v>1410186.58</v>
      </c>
      <c r="D46" s="70"/>
      <c r="E46" s="107">
        <f>C46+D46</f>
        <v>1410186.58</v>
      </c>
      <c r="F46" s="58">
        <v>1529414.7</v>
      </c>
      <c r="G46" s="149">
        <v>958006.59</v>
      </c>
      <c r="H46" s="107">
        <f>G46+D46</f>
        <v>958006.59</v>
      </c>
    </row>
    <row r="47" spans="1:9">
      <c r="A47" s="121"/>
      <c r="C47" s="120"/>
      <c r="G47" s="142"/>
    </row>
    <row r="48" spans="1:9" ht="13.5">
      <c r="A48" s="98" t="s">
        <v>493</v>
      </c>
      <c r="C48" s="81">
        <f>SUM(C49:C50)</f>
        <v>7676725.5099999998</v>
      </c>
      <c r="G48" s="149">
        <f>SUM(G49:G50)</f>
        <v>3985304.98</v>
      </c>
    </row>
    <row r="49" spans="1:8">
      <c r="B49" s="91" t="s">
        <v>494</v>
      </c>
      <c r="C49" s="120">
        <v>5788520.8200000003</v>
      </c>
      <c r="D49" s="70">
        <v>1480758.8199999998</v>
      </c>
      <c r="E49" s="107">
        <f>C49+D49</f>
        <v>7269279.6400000006</v>
      </c>
      <c r="F49" s="58">
        <v>4571806.32</v>
      </c>
      <c r="G49" s="142">
        <v>3091047.5</v>
      </c>
      <c r="H49" s="107">
        <f>G49+D49</f>
        <v>4571806.32</v>
      </c>
    </row>
    <row r="50" spans="1:8">
      <c r="B50" s="91" t="s">
        <v>495</v>
      </c>
      <c r="C50" s="120">
        <v>1888204.6899999997</v>
      </c>
      <c r="D50" s="70">
        <v>579798.26</v>
      </c>
      <c r="E50" s="107">
        <f>C50+D50</f>
        <v>2468002.9499999997</v>
      </c>
      <c r="F50" s="58">
        <v>1474055.7399999998</v>
      </c>
      <c r="G50" s="142">
        <v>894257.47999999986</v>
      </c>
      <c r="H50" s="107">
        <f>G50+D50</f>
        <v>1474055.7399999998</v>
      </c>
    </row>
    <row r="51" spans="1:8">
      <c r="C51" s="120"/>
      <c r="G51" s="142"/>
    </row>
    <row r="52" spans="1:8">
      <c r="A52" s="121" t="s">
        <v>496</v>
      </c>
      <c r="C52" s="81">
        <v>133387.357599996</v>
      </c>
      <c r="D52" s="72">
        <f>8941.58+641.67</f>
        <v>9583.25</v>
      </c>
      <c r="E52" s="107">
        <f>C52+D52</f>
        <v>142970.607599996</v>
      </c>
      <c r="F52" s="58">
        <v>8698.4699999997392</v>
      </c>
      <c r="G52" s="149">
        <v>8698.4699999997392</v>
      </c>
      <c r="H52" s="107">
        <f>G52+D52</f>
        <v>18281.719999999739</v>
      </c>
    </row>
    <row r="53" spans="1:8">
      <c r="C53" s="120"/>
      <c r="G53" s="142"/>
    </row>
    <row r="54" spans="1:8">
      <c r="A54" s="122" t="s">
        <v>497</v>
      </c>
      <c r="C54" s="123">
        <f>C28+C30+C34+C37+C42+C46+C48+C52</f>
        <v>43542276.188599996</v>
      </c>
      <c r="G54" s="150">
        <f>G28+G30+G34+G37+G42+G46+G48+G52</f>
        <v>18020868.149999999</v>
      </c>
    </row>
    <row r="55" spans="1:8">
      <c r="C55" s="120"/>
      <c r="G55" s="142"/>
    </row>
    <row r="56" spans="1:8">
      <c r="C56" s="120"/>
      <c r="G56" s="142"/>
    </row>
    <row r="57" spans="1:8">
      <c r="A57" s="89" t="s">
        <v>498</v>
      </c>
      <c r="C57" s="123">
        <f>C24-C54</f>
        <v>711559.51000000536</v>
      </c>
      <c r="G57" s="150">
        <f>G24-G54</f>
        <v>130561.99760000035</v>
      </c>
    </row>
    <row r="58" spans="1:8">
      <c r="C58" s="120"/>
      <c r="G58" s="142"/>
    </row>
    <row r="59" spans="1:8">
      <c r="C59" s="120"/>
      <c r="G59" s="142"/>
    </row>
    <row r="60" spans="1:8">
      <c r="C60" s="120"/>
      <c r="G60" s="142"/>
    </row>
    <row r="61" spans="1:8">
      <c r="C61" s="120"/>
      <c r="G61" s="142"/>
    </row>
    <row r="62" spans="1:8">
      <c r="C62" s="120"/>
      <c r="G62" s="142"/>
    </row>
    <row r="63" spans="1:8">
      <c r="C63" s="120"/>
      <c r="G63" s="142"/>
    </row>
    <row r="64" spans="1:8">
      <c r="C64" s="120"/>
      <c r="G64" s="142"/>
    </row>
    <row r="65" spans="1:8">
      <c r="C65" s="120"/>
      <c r="G65" s="142"/>
    </row>
    <row r="66" spans="1:8">
      <c r="A66" s="91" t="s">
        <v>499</v>
      </c>
      <c r="C66" s="120"/>
      <c r="G66" s="142"/>
    </row>
    <row r="67" spans="1:8">
      <c r="C67" s="120"/>
      <c r="G67" s="142"/>
    </row>
    <row r="68" spans="1:8">
      <c r="A68" s="122" t="s">
        <v>480</v>
      </c>
      <c r="C68" s="120"/>
      <c r="G68" s="142"/>
    </row>
    <row r="69" spans="1:8">
      <c r="C69" s="120"/>
      <c r="G69" s="142"/>
    </row>
    <row r="70" spans="1:8">
      <c r="A70" s="121" t="s">
        <v>500</v>
      </c>
      <c r="C70" s="81">
        <f>C71+C72</f>
        <v>751559.51</v>
      </c>
      <c r="G70" s="149">
        <f>G71</f>
        <v>130472</v>
      </c>
    </row>
    <row r="71" spans="1:8">
      <c r="B71" s="91" t="s">
        <v>501</v>
      </c>
      <c r="C71" s="56">
        <v>180151.4</v>
      </c>
      <c r="D71" s="70">
        <v>49679.4</v>
      </c>
      <c r="E71" s="107">
        <f>C71+D71</f>
        <v>229830.8</v>
      </c>
      <c r="F71" s="58">
        <v>180151.4</v>
      </c>
      <c r="G71" s="71">
        <v>130472</v>
      </c>
      <c r="H71" s="107">
        <f>G71+D71</f>
        <v>180151.4</v>
      </c>
    </row>
    <row r="72" spans="1:8">
      <c r="B72" s="91" t="s">
        <v>502</v>
      </c>
      <c r="C72" s="120">
        <v>571408.11</v>
      </c>
      <c r="G72" s="142"/>
    </row>
    <row r="73" spans="1:8">
      <c r="C73" s="120"/>
      <c r="G73" s="142"/>
    </row>
    <row r="74" spans="1:8">
      <c r="A74" s="122" t="s">
        <v>497</v>
      </c>
      <c r="C74" s="152">
        <f>C70</f>
        <v>751559.51</v>
      </c>
      <c r="G74" s="151">
        <f>G70</f>
        <v>130472</v>
      </c>
    </row>
    <row r="75" spans="1:8">
      <c r="C75" s="120"/>
      <c r="G75" s="142"/>
    </row>
    <row r="76" spans="1:8">
      <c r="C76" s="120"/>
      <c r="G76" s="142"/>
    </row>
    <row r="77" spans="1:8">
      <c r="A77" s="89" t="s">
        <v>503</v>
      </c>
      <c r="C77" s="123">
        <f>-C74</f>
        <v>-751559.51</v>
      </c>
      <c r="G77" s="150">
        <f>-G74</f>
        <v>-130472</v>
      </c>
    </row>
    <row r="78" spans="1:8">
      <c r="C78" s="120"/>
      <c r="G78" s="142"/>
    </row>
    <row r="79" spans="1:8">
      <c r="A79" s="91" t="s">
        <v>504</v>
      </c>
      <c r="C79" s="120">
        <f>C57+C77</f>
        <v>-39999.999999994645</v>
      </c>
      <c r="G79" s="142">
        <f>G57+G77</f>
        <v>89.997600000351667</v>
      </c>
    </row>
    <row r="80" spans="1:8">
      <c r="C80" s="120"/>
      <c r="G80" s="142"/>
    </row>
    <row r="81" spans="1:7">
      <c r="A81" s="91" t="s">
        <v>505</v>
      </c>
      <c r="C81" s="81">
        <v>702458.87</v>
      </c>
      <c r="G81" s="149">
        <v>702458.87</v>
      </c>
    </row>
    <row r="82" spans="1:7">
      <c r="C82" s="120"/>
      <c r="G82" s="142"/>
    </row>
    <row r="83" spans="1:7" ht="13.5" thickBot="1">
      <c r="A83" s="91" t="s">
        <v>511</v>
      </c>
      <c r="C83" s="148">
        <f>C79+C81</f>
        <v>662458.87000000535</v>
      </c>
      <c r="G83" s="147">
        <f>G79+G81</f>
        <v>702548.86760000035</v>
      </c>
    </row>
    <row r="84" spans="1:7" ht="13.5" thickTop="1">
      <c r="C84" s="120"/>
      <c r="G84" s="142"/>
    </row>
    <row r="85" spans="1:7">
      <c r="C85" s="120"/>
      <c r="G85" s="142"/>
    </row>
    <row r="86" spans="1:7">
      <c r="C86" s="120"/>
      <c r="G86" s="142"/>
    </row>
    <row r="87" spans="1:7" ht="13.5">
      <c r="C87" s="79"/>
      <c r="G87" s="143"/>
    </row>
    <row r="88" spans="1:7" ht="13.5">
      <c r="A88" s="107"/>
      <c r="B88" s="146" t="s">
        <v>506</v>
      </c>
      <c r="C88" s="79"/>
      <c r="G88" s="143"/>
    </row>
    <row r="89" spans="1:7" ht="13.5">
      <c r="A89" s="107"/>
      <c r="B89" s="146"/>
      <c r="C89" s="79"/>
      <c r="G89" s="143"/>
    </row>
    <row r="90" spans="1:7" ht="13.5">
      <c r="B90" s="107"/>
      <c r="C90" s="145" t="s">
        <v>507</v>
      </c>
      <c r="G90" s="144" t="s">
        <v>507</v>
      </c>
    </row>
    <row r="91" spans="1:7" ht="13.5">
      <c r="C91" s="79" t="s">
        <v>508</v>
      </c>
      <c r="G91" s="143" t="s">
        <v>509</v>
      </c>
    </row>
    <row r="92" spans="1:7">
      <c r="C92" s="120"/>
      <c r="G92" s="142"/>
    </row>
    <row r="93" spans="1:7">
      <c r="C93" s="120"/>
      <c r="G93" s="142"/>
    </row>
    <row r="94" spans="1:7">
      <c r="C94" s="120"/>
      <c r="G94" s="142"/>
    </row>
    <row r="95" spans="1:7">
      <c r="C95" s="120"/>
      <c r="G95" s="142"/>
    </row>
    <row r="96" spans="1:7">
      <c r="C96" s="120"/>
      <c r="G96" s="142"/>
    </row>
    <row r="97" spans="3:7">
      <c r="C97" s="120"/>
      <c r="G97" s="142"/>
    </row>
    <row r="98" spans="3:7">
      <c r="C98" s="120"/>
      <c r="G98" s="142"/>
    </row>
    <row r="99" spans="3:7">
      <c r="C99" s="120"/>
      <c r="G99" s="142"/>
    </row>
    <row r="100" spans="3:7">
      <c r="C100" s="120"/>
      <c r="G100" s="142"/>
    </row>
    <row r="101" spans="3:7">
      <c r="C101" s="120"/>
      <c r="G101" s="142"/>
    </row>
    <row r="102" spans="3:7">
      <c r="C102" s="120"/>
      <c r="G102" s="142"/>
    </row>
    <row r="103" spans="3:7">
      <c r="C103" s="120"/>
      <c r="G103" s="142"/>
    </row>
    <row r="104" spans="3:7">
      <c r="C104" s="120"/>
      <c r="G104" s="142"/>
    </row>
    <row r="105" spans="3:7">
      <c r="C105" s="120"/>
      <c r="G105" s="142"/>
    </row>
    <row r="106" spans="3:7">
      <c r="C106" s="120"/>
      <c r="G106" s="142"/>
    </row>
    <row r="107" spans="3:7">
      <c r="C107" s="120"/>
      <c r="G107" s="142"/>
    </row>
    <row r="108" spans="3:7">
      <c r="C108" s="120"/>
      <c r="G108" s="142"/>
    </row>
    <row r="109" spans="3:7">
      <c r="C109" s="120"/>
      <c r="G109" s="142"/>
    </row>
    <row r="110" spans="3:7">
      <c r="C110" s="120"/>
      <c r="G110" s="142"/>
    </row>
    <row r="111" spans="3:7">
      <c r="C111" s="120"/>
      <c r="G111" s="142"/>
    </row>
    <row r="112" spans="3:7">
      <c r="C112" s="120"/>
      <c r="G112" s="142"/>
    </row>
    <row r="113" spans="3:7">
      <c r="C113" s="120"/>
      <c r="G113" s="142"/>
    </row>
    <row r="114" spans="3:7">
      <c r="C114" s="120"/>
      <c r="G114" s="142"/>
    </row>
    <row r="115" spans="3:7">
      <c r="C115" s="120"/>
      <c r="G115" s="142"/>
    </row>
    <row r="116" spans="3:7">
      <c r="C116" s="120"/>
      <c r="G116" s="142"/>
    </row>
    <row r="117" spans="3:7">
      <c r="C117" s="120"/>
      <c r="G117" s="142"/>
    </row>
    <row r="118" spans="3:7">
      <c r="C118" s="120"/>
      <c r="G118" s="142"/>
    </row>
    <row r="119" spans="3:7">
      <c r="C119" s="120"/>
      <c r="G119" s="142"/>
    </row>
    <row r="120" spans="3:7">
      <c r="C120" s="120"/>
      <c r="G120" s="142"/>
    </row>
    <row r="121" spans="3:7">
      <c r="C121" s="120"/>
      <c r="G121" s="142"/>
    </row>
    <row r="122" spans="3:7">
      <c r="C122" s="120"/>
      <c r="G122" s="142"/>
    </row>
    <row r="123" spans="3:7">
      <c r="C123" s="120"/>
      <c r="G123" s="142"/>
    </row>
    <row r="124" spans="3:7">
      <c r="C124" s="120"/>
      <c r="G124" s="142"/>
    </row>
    <row r="125" spans="3:7">
      <c r="C125" s="120"/>
      <c r="G125" s="142"/>
    </row>
    <row r="126" spans="3:7">
      <c r="C126" s="120"/>
      <c r="G126" s="142"/>
    </row>
    <row r="127" spans="3:7">
      <c r="C127" s="120"/>
      <c r="G127" s="142"/>
    </row>
    <row r="128" spans="3:7">
      <c r="C128" s="120"/>
      <c r="G128" s="142"/>
    </row>
    <row r="129" spans="3:7">
      <c r="C129" s="120"/>
      <c r="G129" s="142"/>
    </row>
    <row r="130" spans="3:7">
      <c r="C130" s="120"/>
      <c r="G130" s="142"/>
    </row>
    <row r="131" spans="3:7">
      <c r="C131" s="120"/>
      <c r="G131" s="142"/>
    </row>
    <row r="132" spans="3:7">
      <c r="C132" s="120"/>
      <c r="G132" s="142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42"/>
  <sheetViews>
    <sheetView topLeftCell="A4" workbookViewId="0">
      <pane xSplit="3" ySplit="7" topLeftCell="D23" activePane="bottomRight" state="frozen"/>
      <selection activeCell="A4" sqref="A4"/>
      <selection pane="topRight" activeCell="D4" sqref="D4"/>
      <selection pane="bottomLeft" activeCell="A11" sqref="A11"/>
      <selection pane="bottomRight" activeCell="K15" sqref="K15"/>
    </sheetView>
  </sheetViews>
  <sheetFormatPr defaultRowHeight="16.5"/>
  <cols>
    <col min="1" max="1" width="4.85546875" style="162" customWidth="1"/>
    <col min="2" max="2" width="6.85546875" style="162" customWidth="1"/>
    <col min="3" max="3" width="28.85546875" style="162" bestFit="1" customWidth="1"/>
    <col min="4" max="7" width="13.140625" style="162" customWidth="1"/>
    <col min="8" max="11" width="9.140625" style="162"/>
    <col min="12" max="12" width="12.42578125" style="162" bestFit="1" customWidth="1"/>
    <col min="13" max="16384" width="9.140625" style="162"/>
  </cols>
  <sheetData>
    <row r="1" spans="1:7">
      <c r="G1" s="162" t="s">
        <v>639</v>
      </c>
    </row>
    <row r="2" spans="1:7">
      <c r="A2" s="328" t="s">
        <v>584</v>
      </c>
      <c r="B2" s="328"/>
      <c r="C2" s="328"/>
      <c r="D2" s="328"/>
      <c r="E2" s="328"/>
      <c r="F2" s="328"/>
      <c r="G2" s="328"/>
    </row>
    <row r="3" spans="1:7">
      <c r="A3" s="329" t="s">
        <v>640</v>
      </c>
      <c r="B3" s="329"/>
      <c r="C3" s="329"/>
      <c r="D3" s="329"/>
      <c r="E3" s="329"/>
      <c r="F3" s="329"/>
      <c r="G3" s="329"/>
    </row>
    <row r="4" spans="1:7">
      <c r="A4" s="330" t="s">
        <v>641</v>
      </c>
      <c r="B4" s="330"/>
      <c r="C4" s="330"/>
      <c r="D4" s="330"/>
      <c r="E4" s="330"/>
      <c r="F4" s="330"/>
      <c r="G4" s="330"/>
    </row>
    <row r="5" spans="1:7">
      <c r="A5" s="329" t="s">
        <v>737</v>
      </c>
      <c r="B5" s="329"/>
      <c r="C5" s="329"/>
      <c r="D5" s="329"/>
      <c r="E5" s="329"/>
      <c r="F5" s="329"/>
      <c r="G5" s="329"/>
    </row>
    <row r="6" spans="1:7">
      <c r="A6" s="331" t="s">
        <v>642</v>
      </c>
      <c r="B6" s="331"/>
      <c r="C6" s="331"/>
      <c r="D6" s="331"/>
      <c r="E6" s="331"/>
      <c r="F6" s="331"/>
      <c r="G6" s="331"/>
    </row>
    <row r="7" spans="1:7">
      <c r="A7" s="163"/>
      <c r="B7" s="163"/>
      <c r="C7" s="163"/>
      <c r="D7" s="163"/>
      <c r="E7" s="163"/>
      <c r="F7" s="163"/>
      <c r="G7" s="163"/>
    </row>
    <row r="8" spans="1:7">
      <c r="A8" s="164"/>
      <c r="B8" s="164"/>
      <c r="C8" s="164"/>
      <c r="D8" s="164"/>
      <c r="E8" s="164"/>
      <c r="F8" s="164"/>
      <c r="G8" s="164"/>
    </row>
    <row r="9" spans="1:7">
      <c r="A9" s="334" t="s">
        <v>643</v>
      </c>
      <c r="B9" s="335"/>
      <c r="C9" s="335"/>
      <c r="D9" s="338" t="s">
        <v>644</v>
      </c>
      <c r="E9" s="338"/>
      <c r="F9" s="338" t="s">
        <v>645</v>
      </c>
      <c r="G9" s="338" t="s">
        <v>646</v>
      </c>
    </row>
    <row r="10" spans="1:7" ht="36.75" customHeight="1">
      <c r="A10" s="336"/>
      <c r="B10" s="337"/>
      <c r="C10" s="337"/>
      <c r="D10" s="165" t="s">
        <v>647</v>
      </c>
      <c r="E10" s="165" t="s">
        <v>648</v>
      </c>
      <c r="F10" s="338"/>
      <c r="G10" s="338"/>
    </row>
    <row r="11" spans="1:7">
      <c r="A11" s="166"/>
      <c r="B11" s="166"/>
      <c r="C11" s="166"/>
      <c r="D11" s="167"/>
      <c r="E11" s="167"/>
      <c r="F11" s="166"/>
      <c r="G11" s="166"/>
    </row>
    <row r="12" spans="1:7">
      <c r="A12" s="168" t="s">
        <v>649</v>
      </c>
      <c r="B12" s="169"/>
      <c r="C12" s="169"/>
      <c r="D12" s="169"/>
      <c r="E12" s="169"/>
      <c r="F12" s="169"/>
      <c r="G12" s="169"/>
    </row>
    <row r="13" spans="1:7">
      <c r="A13" s="169"/>
      <c r="B13" s="169" t="s">
        <v>650</v>
      </c>
      <c r="C13" s="169"/>
      <c r="D13" s="170">
        <v>1339250</v>
      </c>
      <c r="E13" s="170">
        <v>1339250</v>
      </c>
      <c r="F13" s="170">
        <v>1271501</v>
      </c>
      <c r="G13" s="170">
        <f>E13-F13</f>
        <v>67749</v>
      </c>
    </row>
    <row r="14" spans="1:7" s="172" customFormat="1">
      <c r="A14" s="171"/>
      <c r="B14" s="169" t="s">
        <v>651</v>
      </c>
      <c r="C14" s="169"/>
      <c r="D14" s="170"/>
      <c r="E14" s="170"/>
      <c r="F14" s="170"/>
      <c r="G14" s="170">
        <f>E14-F14</f>
        <v>0</v>
      </c>
    </row>
    <row r="15" spans="1:7">
      <c r="A15" s="169"/>
      <c r="B15" s="169" t="s">
        <v>652</v>
      </c>
      <c r="C15" s="169"/>
      <c r="D15" s="170"/>
      <c r="E15" s="170"/>
      <c r="F15" s="170"/>
      <c r="G15" s="170">
        <f t="shared" ref="G15:G20" si="0">E15-F15</f>
        <v>0</v>
      </c>
    </row>
    <row r="16" spans="1:7">
      <c r="A16" s="169"/>
      <c r="B16" s="169" t="s">
        <v>653</v>
      </c>
      <c r="C16" s="169"/>
      <c r="D16" s="170"/>
      <c r="E16" s="170"/>
      <c r="F16" s="170"/>
      <c r="G16" s="170">
        <f t="shared" si="0"/>
        <v>0</v>
      </c>
    </row>
    <row r="17" spans="1:12">
      <c r="A17" s="169"/>
      <c r="B17" s="169" t="s">
        <v>654</v>
      </c>
      <c r="C17" s="169"/>
      <c r="D17" s="170"/>
      <c r="E17" s="170"/>
      <c r="F17" s="170"/>
      <c r="G17" s="170">
        <f t="shared" si="0"/>
        <v>0</v>
      </c>
    </row>
    <row r="18" spans="1:12">
      <c r="A18" s="169"/>
      <c r="B18" s="169" t="s">
        <v>655</v>
      </c>
      <c r="C18" s="169"/>
      <c r="D18" s="170"/>
      <c r="E18" s="170"/>
      <c r="F18" s="170"/>
      <c r="G18" s="170">
        <f t="shared" si="0"/>
        <v>0</v>
      </c>
      <c r="L18" s="290"/>
    </row>
    <row r="19" spans="1:12">
      <c r="A19" s="169"/>
      <c r="B19" s="169"/>
      <c r="C19" s="169" t="s">
        <v>656</v>
      </c>
      <c r="D19" s="170">
        <v>0</v>
      </c>
      <c r="E19" s="170">
        <v>0</v>
      </c>
      <c r="F19" s="170"/>
      <c r="G19" s="170">
        <f t="shared" si="0"/>
        <v>0</v>
      </c>
      <c r="L19" s="290"/>
    </row>
    <row r="20" spans="1:12" ht="17.25">
      <c r="A20" s="169"/>
      <c r="B20" s="169"/>
      <c r="C20" s="169" t="s">
        <v>657</v>
      </c>
      <c r="D20" s="173"/>
      <c r="E20" s="173"/>
      <c r="F20" s="173"/>
      <c r="G20" s="174">
        <f t="shared" si="0"/>
        <v>0</v>
      </c>
    </row>
    <row r="21" spans="1:12" ht="17.25">
      <c r="A21" s="169"/>
      <c r="B21" s="169"/>
      <c r="C21" s="169"/>
      <c r="D21" s="175">
        <f>SUM(D13:D20)</f>
        <v>1339250</v>
      </c>
      <c r="E21" s="175">
        <f>SUM(E13:E20)</f>
        <v>1339250</v>
      </c>
      <c r="F21" s="175">
        <f>SUM(F13:F20)</f>
        <v>1271501</v>
      </c>
      <c r="G21" s="175">
        <f>SUM(G13:G20)</f>
        <v>67749</v>
      </c>
    </row>
    <row r="22" spans="1:12">
      <c r="A22" s="169"/>
      <c r="B22" s="169"/>
      <c r="C22" s="169"/>
      <c r="D22" s="161"/>
      <c r="E22" s="161"/>
      <c r="F22" s="161"/>
      <c r="G22" s="161"/>
    </row>
    <row r="23" spans="1:12">
      <c r="A23" s="168" t="s">
        <v>658</v>
      </c>
      <c r="B23" s="169"/>
      <c r="C23" s="169"/>
      <c r="D23" s="161"/>
      <c r="E23" s="161"/>
      <c r="F23" s="161"/>
      <c r="G23" s="161"/>
    </row>
    <row r="24" spans="1:12">
      <c r="A24" s="169"/>
      <c r="B24" s="169" t="s">
        <v>659</v>
      </c>
      <c r="C24" s="169"/>
      <c r="D24" s="170">
        <v>4958000</v>
      </c>
      <c r="E24" s="170">
        <v>4958000</v>
      </c>
      <c r="F24" s="170">
        <v>5651194.3200000003</v>
      </c>
      <c r="G24" s="170">
        <f>E24-F24</f>
        <v>-693194.3200000003</v>
      </c>
    </row>
    <row r="25" spans="1:12">
      <c r="A25" s="169"/>
      <c r="B25" s="169" t="s">
        <v>513</v>
      </c>
      <c r="C25" s="169"/>
      <c r="D25" s="170">
        <v>7368900</v>
      </c>
      <c r="E25" s="170">
        <v>7368900</v>
      </c>
      <c r="F25" s="170">
        <v>2504663.2399999998</v>
      </c>
      <c r="G25" s="170">
        <f>E25-F25</f>
        <v>4864236.76</v>
      </c>
    </row>
    <row r="26" spans="1:12">
      <c r="A26" s="169"/>
      <c r="B26" s="169" t="s">
        <v>660</v>
      </c>
      <c r="C26" s="169"/>
      <c r="D26" s="170">
        <v>1400000</v>
      </c>
      <c r="E26" s="170">
        <v>1400000</v>
      </c>
      <c r="F26" s="170">
        <v>0</v>
      </c>
      <c r="G26" s="170">
        <f>E26-F26</f>
        <v>1400000</v>
      </c>
    </row>
    <row r="27" spans="1:12">
      <c r="A27" s="169"/>
      <c r="B27" s="169" t="s">
        <v>661</v>
      </c>
      <c r="C27" s="169"/>
      <c r="D27" s="170"/>
      <c r="E27" s="170"/>
      <c r="F27" s="170"/>
      <c r="G27" s="170"/>
    </row>
    <row r="28" spans="1:12">
      <c r="A28" s="169"/>
      <c r="B28" s="169" t="s">
        <v>662</v>
      </c>
      <c r="C28" s="169"/>
      <c r="D28" s="170"/>
      <c r="E28" s="170"/>
      <c r="F28" s="170"/>
      <c r="G28" s="170"/>
    </row>
    <row r="29" spans="1:12">
      <c r="A29" s="169"/>
      <c r="B29" s="169"/>
      <c r="C29" s="169" t="s">
        <v>481</v>
      </c>
      <c r="D29" s="170">
        <v>1339250</v>
      </c>
      <c r="E29" s="170">
        <v>1339250</v>
      </c>
      <c r="F29" s="170">
        <v>1271501</v>
      </c>
      <c r="G29" s="170">
        <f>E29-F29</f>
        <v>67749</v>
      </c>
    </row>
    <row r="30" spans="1:12" ht="17.25">
      <c r="A30" s="169"/>
      <c r="B30" s="169"/>
      <c r="C30" s="169" t="s">
        <v>663</v>
      </c>
      <c r="D30" s="175"/>
      <c r="E30" s="175"/>
      <c r="F30" s="175"/>
      <c r="G30" s="175"/>
    </row>
    <row r="31" spans="1:12" ht="17.25">
      <c r="A31" s="169"/>
      <c r="B31" s="169"/>
      <c r="C31" s="169"/>
      <c r="D31" s="175">
        <f>SUM(D24:D30)</f>
        <v>15066150</v>
      </c>
      <c r="E31" s="175">
        <f>SUM(E24:E30)</f>
        <v>15066150</v>
      </c>
      <c r="F31" s="175">
        <f>SUM(F24:F30)</f>
        <v>9427358.5600000005</v>
      </c>
      <c r="G31" s="175">
        <f>SUM(G24:G30)</f>
        <v>5638791.4399999995</v>
      </c>
    </row>
    <row r="32" spans="1:12">
      <c r="A32" s="169"/>
      <c r="B32" s="169"/>
      <c r="C32" s="169"/>
      <c r="D32" s="161"/>
      <c r="E32" s="161"/>
      <c r="F32" s="161"/>
      <c r="G32" s="161"/>
    </row>
    <row r="33" spans="1:7" ht="17.25">
      <c r="A33" s="168" t="s">
        <v>664</v>
      </c>
      <c r="B33" s="169"/>
      <c r="C33" s="169"/>
      <c r="D33" s="176">
        <f>D21-D31</f>
        <v>-13726900</v>
      </c>
      <c r="E33" s="176">
        <f>E21-E31</f>
        <v>-13726900</v>
      </c>
      <c r="F33" s="176">
        <f>F21-F31</f>
        <v>-8155857.5600000005</v>
      </c>
      <c r="G33" s="176">
        <f>G21-G31</f>
        <v>-5571042.4399999995</v>
      </c>
    </row>
    <row r="34" spans="1:7">
      <c r="A34" s="169"/>
      <c r="B34" s="169"/>
      <c r="C34" s="169"/>
      <c r="D34" s="169"/>
      <c r="E34" s="169"/>
      <c r="F34" s="169"/>
      <c r="G34" s="169"/>
    </row>
    <row r="35" spans="1:7">
      <c r="A35" s="164"/>
      <c r="B35" s="164"/>
      <c r="C35" s="164"/>
      <c r="D35" s="164"/>
      <c r="E35" s="164"/>
      <c r="F35" s="164"/>
      <c r="G35" s="164"/>
    </row>
    <row r="36" spans="1:7">
      <c r="A36" s="164"/>
      <c r="B36" s="164"/>
      <c r="C36" s="164"/>
      <c r="D36" s="177"/>
      <c r="E36" s="177"/>
      <c r="F36" s="164"/>
      <c r="G36" s="164"/>
    </row>
    <row r="37" spans="1:7">
      <c r="A37" s="164"/>
      <c r="B37" s="164"/>
      <c r="C37" s="164"/>
      <c r="D37" s="177"/>
      <c r="E37" s="177"/>
      <c r="F37" s="164"/>
      <c r="G37" s="164"/>
    </row>
    <row r="38" spans="1:7">
      <c r="A38" s="164"/>
      <c r="B38" s="164"/>
      <c r="C38" s="164"/>
      <c r="D38" s="177"/>
      <c r="E38" s="164" t="s">
        <v>506</v>
      </c>
      <c r="F38" s="164"/>
      <c r="G38" s="164"/>
    </row>
    <row r="39" spans="1:7">
      <c r="A39" s="164"/>
      <c r="B39" s="164"/>
      <c r="C39" s="164"/>
      <c r="D39" s="164"/>
      <c r="E39" s="164"/>
      <c r="F39" s="164"/>
      <c r="G39" s="164"/>
    </row>
    <row r="40" spans="1:7">
      <c r="A40" s="164"/>
      <c r="B40" s="164"/>
      <c r="C40" s="164"/>
      <c r="D40" s="164"/>
      <c r="E40" s="164"/>
      <c r="F40" s="164"/>
      <c r="G40" s="164"/>
    </row>
    <row r="41" spans="1:7">
      <c r="A41" s="178"/>
      <c r="B41" s="333"/>
      <c r="C41" s="333"/>
      <c r="D41" s="164"/>
      <c r="E41" s="178"/>
      <c r="F41" s="333" t="s">
        <v>665</v>
      </c>
      <c r="G41" s="333"/>
    </row>
    <row r="42" spans="1:7">
      <c r="A42" s="164"/>
      <c r="B42" s="332"/>
      <c r="C42" s="332"/>
      <c r="D42" s="164"/>
      <c r="E42" s="164"/>
      <c r="F42" s="332" t="s">
        <v>666</v>
      </c>
      <c r="G42" s="332"/>
    </row>
  </sheetData>
  <mergeCells count="13">
    <mergeCell ref="B42:C42"/>
    <mergeCell ref="F41:G41"/>
    <mergeCell ref="F42:G42"/>
    <mergeCell ref="A9:C10"/>
    <mergeCell ref="D9:E9"/>
    <mergeCell ref="F9:F10"/>
    <mergeCell ref="G9:G10"/>
    <mergeCell ref="B41:C41"/>
    <mergeCell ref="A2:G2"/>
    <mergeCell ref="A3:G3"/>
    <mergeCell ref="A4:G4"/>
    <mergeCell ref="A5:G5"/>
    <mergeCell ref="A6:G6"/>
  </mergeCells>
  <pageMargins left="0.7" right="0.7" top="0.75" bottom="0.75" header="0.3" footer="0.3"/>
  <pageSetup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21"/>
  <sheetViews>
    <sheetView workbookViewId="0">
      <pane xSplit="1" ySplit="2" topLeftCell="Q3" activePane="bottomRight" state="frozen"/>
      <selection pane="topRight" activeCell="B1" sqref="B1"/>
      <selection pane="bottomLeft" activeCell="A2" sqref="A2"/>
      <selection pane="bottomRight" activeCell="Q16" sqref="Q16"/>
    </sheetView>
  </sheetViews>
  <sheetFormatPr defaultRowHeight="16.5"/>
  <cols>
    <col min="1" max="1" width="39.7109375" style="129" customWidth="1"/>
    <col min="2" max="2" width="12.28515625" style="129" customWidth="1"/>
    <col min="3" max="3" width="12.42578125" style="129" bestFit="1" customWidth="1"/>
    <col min="4" max="5" width="9.140625" style="128"/>
    <col min="6" max="6" width="12.140625" style="128" customWidth="1"/>
    <col min="7" max="8" width="13.42578125" style="128" customWidth="1"/>
    <col min="9" max="9" width="11.5703125" style="128" bestFit="1" customWidth="1"/>
    <col min="10" max="10" width="9.140625" style="128"/>
    <col min="11" max="11" width="13.42578125" style="128" customWidth="1"/>
    <col min="12" max="13" width="12.7109375" style="128" customWidth="1"/>
    <col min="14" max="14" width="13" style="128" customWidth="1"/>
    <col min="15" max="15" width="14.5703125" style="128" customWidth="1"/>
    <col min="16" max="16" width="13" style="128" customWidth="1"/>
    <col min="17" max="17" width="13.5703125" style="128" customWidth="1"/>
    <col min="18" max="18" width="9.140625" style="128"/>
    <col min="19" max="19" width="16.140625" style="128" customWidth="1"/>
    <col min="20" max="20" width="13.28515625" style="128" customWidth="1"/>
    <col min="21" max="16384" width="9.140625" style="128"/>
  </cols>
  <sheetData>
    <row r="1" spans="1:23">
      <c r="A1" s="129">
        <f>T20+T21</f>
        <v>0</v>
      </c>
      <c r="B1" s="340" t="s">
        <v>619</v>
      </c>
      <c r="C1" s="340"/>
      <c r="D1" s="340"/>
      <c r="E1" s="340"/>
      <c r="F1" s="339" t="s">
        <v>618</v>
      </c>
      <c r="G1" s="339"/>
      <c r="H1" s="339"/>
      <c r="I1" s="339"/>
      <c r="J1" s="139"/>
      <c r="K1" s="128" t="s">
        <v>617</v>
      </c>
      <c r="P1" s="136"/>
      <c r="Q1" s="137" t="s">
        <v>616</v>
      </c>
      <c r="R1" s="136"/>
      <c r="S1" s="128" t="s">
        <v>615</v>
      </c>
    </row>
    <row r="2" spans="1:23">
      <c r="B2" s="129" t="s">
        <v>612</v>
      </c>
      <c r="C2" s="129" t="s">
        <v>614</v>
      </c>
      <c r="D2" s="128" t="s">
        <v>613</v>
      </c>
      <c r="E2" s="128" t="s">
        <v>611</v>
      </c>
      <c r="F2" s="128" t="s">
        <v>608</v>
      </c>
      <c r="G2" s="129" t="s">
        <v>612</v>
      </c>
      <c r="H2" s="128" t="s">
        <v>611</v>
      </c>
      <c r="I2" s="128" t="s">
        <v>610</v>
      </c>
      <c r="J2" s="138" t="s">
        <v>603</v>
      </c>
      <c r="K2" s="128" t="s">
        <v>609</v>
      </c>
      <c r="L2" s="128" t="s">
        <v>608</v>
      </c>
      <c r="M2" s="128" t="s">
        <v>607</v>
      </c>
      <c r="N2" s="128" t="s">
        <v>606</v>
      </c>
      <c r="O2" s="128" t="s">
        <v>605</v>
      </c>
      <c r="P2" s="136" t="s">
        <v>603</v>
      </c>
      <c r="Q2" s="137" t="s">
        <v>604</v>
      </c>
      <c r="R2" s="136" t="s">
        <v>603</v>
      </c>
      <c r="S2" s="128" t="s">
        <v>602</v>
      </c>
    </row>
    <row r="3" spans="1:23">
      <c r="A3" s="135" t="s">
        <v>483</v>
      </c>
      <c r="B3" s="129">
        <v>1650</v>
      </c>
      <c r="C3" s="129">
        <v>185632.33000000002</v>
      </c>
      <c r="D3" s="129"/>
      <c r="E3" s="129"/>
      <c r="F3" s="129">
        <v>1804553.5699999998</v>
      </c>
      <c r="G3" s="129">
        <v>1715323.4</v>
      </c>
      <c r="H3" s="129">
        <v>3709.0800000000004</v>
      </c>
      <c r="I3" s="129">
        <v>10000</v>
      </c>
      <c r="J3" s="129"/>
      <c r="K3" s="129"/>
      <c r="L3" s="129">
        <v>791989.24000000011</v>
      </c>
      <c r="M3" s="129">
        <v>6773469.0900000008</v>
      </c>
      <c r="N3" s="129">
        <v>136396.93</v>
      </c>
      <c r="P3" s="131"/>
      <c r="Q3" s="132">
        <f t="shared" ref="Q3:Q15" si="0">SUM(B3:P3)</f>
        <v>11422723.640000001</v>
      </c>
      <c r="R3" s="131"/>
      <c r="S3" s="129">
        <f>Q3+R3</f>
        <v>11422723.640000001</v>
      </c>
    </row>
    <row r="4" spans="1:23">
      <c r="A4" s="129" t="s">
        <v>484</v>
      </c>
      <c r="B4" s="129">
        <v>112580.87000000002</v>
      </c>
      <c r="C4" s="129">
        <v>105657.76999999996</v>
      </c>
      <c r="D4" s="129">
        <v>36016.559999999998</v>
      </c>
      <c r="E4" s="129">
        <v>10200</v>
      </c>
      <c r="F4" s="129">
        <v>330676.95</v>
      </c>
      <c r="G4" s="129">
        <f>45747.971+2521</f>
        <v>48268.970999999998</v>
      </c>
      <c r="H4" s="129">
        <v>108183.03999999999</v>
      </c>
      <c r="I4" s="129">
        <v>351584.12000000005</v>
      </c>
      <c r="J4" s="129">
        <v>18061</v>
      </c>
      <c r="K4" s="129">
        <v>133398.93</v>
      </c>
      <c r="L4" s="129">
        <v>251516.6</v>
      </c>
      <c r="M4" s="129"/>
      <c r="N4" s="129">
        <v>361523.62000000005</v>
      </c>
      <c r="O4" s="129">
        <v>135417.63</v>
      </c>
      <c r="P4" s="131">
        <v>29264</v>
      </c>
      <c r="Q4" s="132">
        <f t="shared" si="0"/>
        <v>2032350.0610000002</v>
      </c>
      <c r="R4" s="131"/>
      <c r="S4" s="129"/>
    </row>
    <row r="5" spans="1:23">
      <c r="A5" s="129" t="s">
        <v>601</v>
      </c>
      <c r="D5" s="129"/>
      <c r="E5" s="129"/>
      <c r="F5" s="129"/>
      <c r="G5" s="129"/>
      <c r="H5" s="129">
        <v>39000</v>
      </c>
      <c r="I5" s="129"/>
      <c r="J5" s="129"/>
      <c r="K5" s="129">
        <v>17233.43</v>
      </c>
      <c r="M5" s="129"/>
      <c r="N5" s="129">
        <v>83006.990000000005</v>
      </c>
      <c r="P5" s="131"/>
      <c r="Q5" s="132">
        <f t="shared" si="0"/>
        <v>139240.42000000001</v>
      </c>
      <c r="R5" s="131"/>
      <c r="S5" s="129"/>
    </row>
    <row r="6" spans="1:23">
      <c r="A6" s="134" t="s">
        <v>488</v>
      </c>
      <c r="D6" s="129"/>
      <c r="E6" s="129"/>
      <c r="F6" s="129"/>
      <c r="H6" s="129"/>
      <c r="I6" s="129"/>
      <c r="J6" s="129"/>
      <c r="K6" s="129"/>
      <c r="M6" s="129"/>
      <c r="P6" s="131"/>
      <c r="Q6" s="132">
        <f t="shared" si="0"/>
        <v>0</v>
      </c>
      <c r="R6" s="131"/>
      <c r="S6" s="129"/>
    </row>
    <row r="7" spans="1:23">
      <c r="A7" s="134" t="s">
        <v>489</v>
      </c>
      <c r="B7" s="129">
        <v>47500</v>
      </c>
      <c r="D7" s="129"/>
      <c r="E7" s="129"/>
      <c r="F7" s="129"/>
      <c r="H7" s="129"/>
      <c r="I7" s="129">
        <v>46000</v>
      </c>
      <c r="J7" s="129"/>
      <c r="K7" s="129">
        <v>17500</v>
      </c>
      <c r="M7" s="129"/>
      <c r="P7" s="131"/>
      <c r="Q7" s="132">
        <f t="shared" si="0"/>
        <v>111000</v>
      </c>
      <c r="R7" s="131"/>
      <c r="S7" s="129"/>
    </row>
    <row r="8" spans="1:23">
      <c r="A8" s="129" t="s">
        <v>490</v>
      </c>
      <c r="C8" s="129">
        <v>42300</v>
      </c>
      <c r="D8" s="129"/>
      <c r="E8" s="129"/>
      <c r="F8" s="129">
        <v>21799</v>
      </c>
      <c r="H8" s="129">
        <v>18770</v>
      </c>
      <c r="I8" s="129"/>
      <c r="J8" s="129"/>
      <c r="K8" s="129"/>
      <c r="L8" s="129">
        <v>2080</v>
      </c>
      <c r="M8" s="129"/>
      <c r="N8" s="129"/>
      <c r="O8" s="129">
        <v>2080</v>
      </c>
      <c r="P8" s="131"/>
      <c r="Q8" s="132">
        <f t="shared" si="0"/>
        <v>87029</v>
      </c>
      <c r="R8" s="131"/>
      <c r="S8" s="129"/>
    </row>
    <row r="9" spans="1:23">
      <c r="A9" s="129" t="s">
        <v>303</v>
      </c>
      <c r="D9" s="129"/>
      <c r="E9" s="129"/>
      <c r="F9" s="129"/>
      <c r="G9" s="129"/>
      <c r="H9" s="129"/>
      <c r="I9" s="129"/>
      <c r="J9" s="129"/>
      <c r="K9" s="129"/>
      <c r="L9" s="129"/>
      <c r="M9" s="129"/>
      <c r="P9" s="131"/>
      <c r="Q9" s="132">
        <f t="shared" si="0"/>
        <v>0</v>
      </c>
      <c r="R9" s="131"/>
      <c r="S9" s="129"/>
    </row>
    <row r="10" spans="1:23">
      <c r="A10" s="129" t="s">
        <v>304</v>
      </c>
      <c r="D10" s="129"/>
      <c r="E10" s="129"/>
      <c r="F10" s="129"/>
      <c r="G10" s="129">
        <v>1500</v>
      </c>
      <c r="H10" s="129"/>
      <c r="I10" s="129">
        <v>1125</v>
      </c>
      <c r="J10" s="129"/>
      <c r="K10" s="129"/>
      <c r="M10" s="129"/>
      <c r="P10" s="131"/>
      <c r="Q10" s="132">
        <f t="shared" si="0"/>
        <v>2625</v>
      </c>
      <c r="R10" s="131"/>
      <c r="S10" s="129"/>
    </row>
    <row r="11" spans="1:23">
      <c r="A11" s="133" t="s">
        <v>492</v>
      </c>
      <c r="D11" s="129"/>
      <c r="E11" s="129"/>
      <c r="F11" s="129"/>
      <c r="H11" s="129"/>
      <c r="I11" s="129"/>
      <c r="J11" s="129"/>
      <c r="K11" s="129"/>
      <c r="M11" s="129"/>
      <c r="N11" s="129">
        <v>452179.99</v>
      </c>
      <c r="P11" s="131"/>
      <c r="Q11" s="132">
        <f t="shared" si="0"/>
        <v>452179.99</v>
      </c>
      <c r="R11" s="131"/>
      <c r="S11" s="129"/>
    </row>
    <row r="12" spans="1:23">
      <c r="A12" s="129" t="s">
        <v>494</v>
      </c>
      <c r="D12" s="129"/>
      <c r="E12" s="129"/>
      <c r="F12" s="129"/>
      <c r="G12" s="129">
        <v>708653.79</v>
      </c>
      <c r="H12" s="129"/>
      <c r="I12" s="129"/>
      <c r="J12" s="129"/>
      <c r="K12" s="129">
        <v>508060.70999999996</v>
      </c>
      <c r="M12" s="129"/>
      <c r="N12" s="129"/>
      <c r="P12" s="131"/>
      <c r="Q12" s="132">
        <f t="shared" si="0"/>
        <v>1216714.5</v>
      </c>
      <c r="R12" s="131"/>
      <c r="S12" s="129"/>
    </row>
    <row r="13" spans="1:23">
      <c r="A13" s="129" t="s">
        <v>495</v>
      </c>
      <c r="B13" s="129">
        <v>8419.6</v>
      </c>
      <c r="D13" s="129"/>
      <c r="E13" s="129"/>
      <c r="F13" s="129">
        <v>193525.53999999998</v>
      </c>
      <c r="G13" s="129">
        <v>89704.77</v>
      </c>
      <c r="H13" s="129"/>
      <c r="I13" s="129"/>
      <c r="J13" s="129"/>
      <c r="K13" s="129">
        <v>10965.73</v>
      </c>
      <c r="L13" s="129"/>
      <c r="M13" s="129"/>
      <c r="N13" s="129">
        <v>107858.31</v>
      </c>
      <c r="O13" s="129">
        <v>3675</v>
      </c>
      <c r="P13" s="131"/>
      <c r="Q13" s="132">
        <f t="shared" si="0"/>
        <v>414148.94999999995</v>
      </c>
      <c r="R13" s="131"/>
      <c r="S13" s="129">
        <f>Q13+R13</f>
        <v>414148.94999999995</v>
      </c>
    </row>
    <row r="14" spans="1:23">
      <c r="A14" s="129" t="s">
        <v>600</v>
      </c>
      <c r="D14" s="129"/>
      <c r="E14" s="129"/>
      <c r="F14" s="129"/>
      <c r="H14" s="129"/>
      <c r="I14" s="129">
        <v>8091.96</v>
      </c>
      <c r="J14" s="129"/>
      <c r="K14" s="129">
        <v>17527.849999999999</v>
      </c>
      <c r="M14" s="129"/>
      <c r="N14" s="129"/>
      <c r="P14" s="131"/>
      <c r="Q14" s="132">
        <f t="shared" si="0"/>
        <v>25619.809999999998</v>
      </c>
      <c r="R14" s="131"/>
      <c r="S14" s="129">
        <f>Q14+R14</f>
        <v>25619.809999999998</v>
      </c>
      <c r="T14" s="129">
        <v>5398.12</v>
      </c>
      <c r="U14" s="130" t="s">
        <v>597</v>
      </c>
      <c r="W14" s="128" t="s">
        <v>599</v>
      </c>
    </row>
    <row r="15" spans="1:23">
      <c r="A15" s="129" t="s">
        <v>502</v>
      </c>
      <c r="D15" s="129"/>
      <c r="E15" s="129"/>
      <c r="H15" s="129"/>
      <c r="I15" s="129"/>
      <c r="J15" s="129"/>
      <c r="K15" s="129"/>
      <c r="M15" s="129"/>
      <c r="P15" s="131"/>
      <c r="Q15" s="132">
        <f t="shared" si="0"/>
        <v>0</v>
      </c>
      <c r="R15" s="131"/>
      <c r="S15" s="129">
        <f>Q15+R15</f>
        <v>0</v>
      </c>
      <c r="T15" s="129">
        <v>14938</v>
      </c>
      <c r="U15" s="130" t="s">
        <v>597</v>
      </c>
      <c r="W15" s="128" t="s">
        <v>598</v>
      </c>
    </row>
    <row r="16" spans="1:23">
      <c r="B16" s="129">
        <f t="shared" ref="B16:J16" si="1">SUM(B3:B14)</f>
        <v>170150.47000000003</v>
      </c>
      <c r="C16" s="129">
        <f t="shared" si="1"/>
        <v>333590.09999999998</v>
      </c>
      <c r="D16" s="129">
        <f t="shared" si="1"/>
        <v>36016.559999999998</v>
      </c>
      <c r="E16" s="129">
        <f t="shared" si="1"/>
        <v>10200</v>
      </c>
      <c r="F16" s="129">
        <f t="shared" si="1"/>
        <v>2350555.06</v>
      </c>
      <c r="G16" s="129">
        <f t="shared" si="1"/>
        <v>2563450.9309999999</v>
      </c>
      <c r="H16" s="129">
        <f t="shared" si="1"/>
        <v>169662.12</v>
      </c>
      <c r="I16" s="129">
        <f t="shared" si="1"/>
        <v>416801.08000000007</v>
      </c>
      <c r="J16" s="129">
        <f t="shared" si="1"/>
        <v>18061</v>
      </c>
      <c r="K16" s="129">
        <f t="shared" ref="K16:R16" si="2">SUM(K3:K15)</f>
        <v>704686.64999999991</v>
      </c>
      <c r="L16" s="129">
        <f t="shared" si="2"/>
        <v>1045585.8400000001</v>
      </c>
      <c r="M16" s="129">
        <f t="shared" si="2"/>
        <v>6773469.0900000008</v>
      </c>
      <c r="N16" s="129">
        <f t="shared" si="2"/>
        <v>1140965.8400000001</v>
      </c>
      <c r="O16" s="129">
        <f t="shared" si="2"/>
        <v>141172.63</v>
      </c>
      <c r="P16" s="131">
        <f t="shared" si="2"/>
        <v>29264</v>
      </c>
      <c r="Q16" s="131">
        <f t="shared" si="2"/>
        <v>15903631.371000001</v>
      </c>
      <c r="R16" s="131">
        <f t="shared" si="2"/>
        <v>0</v>
      </c>
      <c r="S16" s="129">
        <f>Q16+R16</f>
        <v>15903631.371000001</v>
      </c>
      <c r="T16" s="129">
        <v>6033.26</v>
      </c>
      <c r="U16" s="130" t="s">
        <v>597</v>
      </c>
      <c r="W16" s="128" t="s">
        <v>596</v>
      </c>
    </row>
    <row r="17" spans="2:23">
      <c r="W17" s="129"/>
    </row>
    <row r="18" spans="2:23">
      <c r="B18" s="129" t="s">
        <v>595</v>
      </c>
    </row>
    <row r="19" spans="2:23">
      <c r="B19" s="129">
        <f>B16-[3]Oct15PVB!G33</f>
        <v>170150.47000000003</v>
      </c>
      <c r="C19" s="129">
        <f>Sheet1!C16-[3]OCT15ADA!G75</f>
        <v>0</v>
      </c>
      <c r="D19" s="130">
        <f>D16-[3]OCT15LBP!G10</f>
        <v>0</v>
      </c>
      <c r="E19" s="130">
        <f>E16-[3]OCT15ADALBP!G12</f>
        <v>0</v>
      </c>
      <c r="F19" s="130">
        <f>F16-[3]NOV15ADAPVB!G144</f>
        <v>0</v>
      </c>
      <c r="G19" s="129">
        <f>G16-[3]NOV15PVB!G47</f>
        <v>2563450.9309999999</v>
      </c>
      <c r="H19" s="129">
        <f>H16-[3]NOV15ADALBP!G40</f>
        <v>169662.12</v>
      </c>
      <c r="I19" s="130">
        <f>I16-[3]NOV14LBP!G70</f>
        <v>416801.08000000007</v>
      </c>
      <c r="J19" s="128" t="s">
        <v>594</v>
      </c>
      <c r="K19" s="130">
        <f>K16-[3]Dec15PVB!G46</f>
        <v>704686.64999999991</v>
      </c>
      <c r="L19" s="130">
        <f>L16-'[3]Dec15PVB-ADA'!G85</f>
        <v>0</v>
      </c>
      <c r="M19" s="130">
        <f>M16-'[3]Dec15PVB-AP'!G28</f>
        <v>0</v>
      </c>
      <c r="N19" s="130">
        <f>N16-[3]Dec15LBP!G103</f>
        <v>1140965.8400000001</v>
      </c>
      <c r="O19" s="130">
        <f>O16-'[3]Dec15LBP-ADA'!G30</f>
        <v>0</v>
      </c>
      <c r="P19" s="130" t="e">
        <f>P16-#REF!</f>
        <v>#REF!</v>
      </c>
      <c r="S19" s="130">
        <f>S16-[4]SUMMARY!$V$20</f>
        <v>26369.381000002846</v>
      </c>
      <c r="T19" s="130">
        <f>SUM(T14:T16)</f>
        <v>26369.379999999997</v>
      </c>
      <c r="U19" s="130"/>
    </row>
    <row r="20" spans="2:23">
      <c r="T20" s="130"/>
    </row>
    <row r="21" spans="2:23">
      <c r="U21" s="130"/>
      <c r="W21" s="130"/>
    </row>
  </sheetData>
  <mergeCells count="2">
    <mergeCell ref="F1:I1"/>
    <mergeCell ref="B1:E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"/>
  <sheetViews>
    <sheetView workbookViewId="0">
      <selection activeCell="I21" sqref="I21"/>
    </sheetView>
  </sheetViews>
  <sheetFormatPr defaultRowHeight="15"/>
  <cols>
    <col min="1" max="1" width="6.5703125" customWidth="1"/>
  </cols>
  <sheetData>
    <row r="1" spans="2:2">
      <c r="B1" t="s">
        <v>625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01"/>
  <sheetViews>
    <sheetView topLeftCell="A4" workbookViewId="0">
      <selection activeCell="AD16" sqref="AD16"/>
    </sheetView>
  </sheetViews>
  <sheetFormatPr defaultRowHeight="15" outlineLevelCol="1"/>
  <cols>
    <col min="1" max="1" width="50.7109375" customWidth="1"/>
    <col min="2" max="2" width="12.7109375" customWidth="1"/>
    <col min="3" max="28" width="15.7109375" hidden="1" customWidth="1" outlineLevel="1"/>
    <col min="29" max="29" width="1.7109375" customWidth="1" collapsed="1"/>
    <col min="30" max="31" width="15.7109375" customWidth="1"/>
  </cols>
  <sheetData>
    <row r="1" spans="1:32">
      <c r="A1" s="318" t="s">
        <v>667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</row>
    <row r="2" spans="1:32">
      <c r="A2" s="319" t="s">
        <v>668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</row>
    <row r="3" spans="1:32">
      <c r="A3" s="318" t="s">
        <v>669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</row>
    <row r="4" spans="1:32" ht="5.0999999999999996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2"/>
      <c r="AC4" s="182"/>
      <c r="AD4" s="181"/>
      <c r="AE4" s="181"/>
    </row>
    <row r="5" spans="1:32">
      <c r="A5" s="318" t="s">
        <v>670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  <c r="Q5" s="318"/>
      <c r="R5" s="318"/>
      <c r="S5" s="318"/>
      <c r="T5" s="318"/>
      <c r="U5" s="318"/>
      <c r="V5" s="318"/>
      <c r="W5" s="318"/>
      <c r="X5" s="318"/>
      <c r="Y5" s="318"/>
      <c r="Z5" s="318"/>
      <c r="AA5" s="318"/>
      <c r="AB5" s="318"/>
      <c r="AC5" s="318"/>
      <c r="AD5" s="318"/>
      <c r="AE5" s="318"/>
    </row>
    <row r="6" spans="1:32">
      <c r="A6" s="319" t="s">
        <v>604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</row>
    <row r="7" spans="1:32" ht="5.0999999999999996" customHeight="1">
      <c r="A7" s="183"/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</row>
    <row r="8" spans="1:32" ht="5.0999999999999996" customHeight="1">
      <c r="A8" s="183"/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</row>
    <row r="9" spans="1:32">
      <c r="C9" s="315">
        <v>42369</v>
      </c>
      <c r="D9" s="315"/>
      <c r="E9" s="315">
        <v>42400</v>
      </c>
      <c r="F9" s="315"/>
      <c r="G9" s="315">
        <v>42429</v>
      </c>
      <c r="H9" s="315"/>
      <c r="I9" s="315">
        <v>42460</v>
      </c>
      <c r="J9" s="315"/>
      <c r="K9" s="315">
        <v>42490</v>
      </c>
      <c r="L9" s="315"/>
      <c r="M9" s="315">
        <v>42521</v>
      </c>
      <c r="N9" s="315"/>
      <c r="O9" s="315">
        <v>42551</v>
      </c>
      <c r="P9" s="315"/>
      <c r="Q9" s="315">
        <v>42582</v>
      </c>
      <c r="R9" s="315"/>
      <c r="S9" s="315">
        <v>42613</v>
      </c>
      <c r="T9" s="315"/>
      <c r="U9" s="315">
        <v>42643</v>
      </c>
      <c r="V9" s="315"/>
      <c r="W9" s="315">
        <v>42674</v>
      </c>
      <c r="X9" s="315"/>
      <c r="Y9" s="315">
        <v>42704</v>
      </c>
      <c r="Z9" s="315"/>
      <c r="AA9" s="315">
        <v>42735</v>
      </c>
      <c r="AB9" s="315"/>
      <c r="AD9" s="316"/>
      <c r="AE9" s="316"/>
    </row>
    <row r="10" spans="1:32">
      <c r="A10" s="317" t="s">
        <v>671</v>
      </c>
      <c r="B10" s="317" t="s">
        <v>672</v>
      </c>
      <c r="C10" s="313" t="s">
        <v>673</v>
      </c>
      <c r="D10" s="313" t="s">
        <v>674</v>
      </c>
      <c r="E10" s="313" t="s">
        <v>673</v>
      </c>
      <c r="F10" s="313" t="s">
        <v>674</v>
      </c>
      <c r="G10" s="313" t="s">
        <v>673</v>
      </c>
      <c r="H10" s="313" t="s">
        <v>674</v>
      </c>
      <c r="I10" s="313" t="s">
        <v>673</v>
      </c>
      <c r="J10" s="313" t="s">
        <v>674</v>
      </c>
      <c r="K10" s="313" t="s">
        <v>673</v>
      </c>
      <c r="L10" s="313" t="s">
        <v>674</v>
      </c>
      <c r="M10" s="313" t="s">
        <v>673</v>
      </c>
      <c r="N10" s="313" t="s">
        <v>674</v>
      </c>
      <c r="O10" s="313" t="s">
        <v>673</v>
      </c>
      <c r="P10" s="313" t="s">
        <v>674</v>
      </c>
      <c r="Q10" s="313" t="s">
        <v>673</v>
      </c>
      <c r="R10" s="313" t="s">
        <v>674</v>
      </c>
      <c r="S10" s="313" t="s">
        <v>673</v>
      </c>
      <c r="T10" s="313" t="s">
        <v>674</v>
      </c>
      <c r="U10" s="313" t="s">
        <v>673</v>
      </c>
      <c r="V10" s="313" t="s">
        <v>674</v>
      </c>
      <c r="W10" s="313" t="s">
        <v>673</v>
      </c>
      <c r="X10" s="313" t="s">
        <v>674</v>
      </c>
      <c r="Y10" s="313" t="s">
        <v>673</v>
      </c>
      <c r="Z10" s="313" t="s">
        <v>674</v>
      </c>
      <c r="AA10" s="313" t="s">
        <v>673</v>
      </c>
      <c r="AB10" s="313" t="s">
        <v>674</v>
      </c>
      <c r="AC10" s="181"/>
      <c r="AD10" s="313" t="s">
        <v>673</v>
      </c>
      <c r="AE10" s="313" t="s">
        <v>674</v>
      </c>
      <c r="AF10" s="181"/>
    </row>
    <row r="11" spans="1:32">
      <c r="A11" s="317"/>
      <c r="B11" s="317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181"/>
      <c r="AD11" s="313"/>
      <c r="AE11" s="313"/>
      <c r="AF11" s="181"/>
    </row>
    <row r="12" spans="1:32" ht="5.0999999999999996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2"/>
      <c r="AE12" s="182"/>
      <c r="AF12" s="181"/>
    </row>
    <row r="13" spans="1:32">
      <c r="A13" s="181" t="str">
        <f>+VLOOKUP(B13,'[1]coa-mgb'!A$1:B$65536,2,0)</f>
        <v>Cash Collecting Officer</v>
      </c>
      <c r="B13" s="184" t="s">
        <v>10</v>
      </c>
      <c r="C13" s="182">
        <f>+SUMIFS('[1]10101010 00'!$F$1:$F$65536,'[1]10101010 00'!$D$1:$D$65536,"Beginning Balance",'[1]10101010 00'!$D$1:$D$65536,"Beginning Balance")</f>
        <v>0</v>
      </c>
      <c r="D13" s="182">
        <f>+SUMIFS('[1]10101010 00'!$H$1:$H$65536,'[1]10101010 00'!$D$1:$D$65536,"Beginning Balance",'[1]10101010 00'!$D$1:$D$65536,"Beginning Balance")</f>
        <v>0</v>
      </c>
      <c r="E13" s="182">
        <f>+IF(C13+[1]SADC!C13-[1]SADC!D13-D13&gt;0,C13+[1]SADC!C13-[1]SADC!D13-D13,0)</f>
        <v>150</v>
      </c>
      <c r="F13" s="182">
        <f>+IF(D13+[1]SADC!D13-[1]SADC!C13-C13&gt;0,D13+[1]SADC!D13-[1]SADC!C13-C13,0)</f>
        <v>0</v>
      </c>
      <c r="G13" s="182">
        <f>+IF(E13+[1]SADC!E13-[1]SADC!F13-F13&gt;0,E13+[1]SADC!E13-[1]SADC!F13-F13,0)</f>
        <v>105</v>
      </c>
      <c r="H13" s="182">
        <f>+IF(F13+[1]SADC!F13-[1]SADC!E13-E13&gt;0,F13+[1]SADC!F13-[1]SADC!E13-E13,0)</f>
        <v>0</v>
      </c>
      <c r="I13" s="182">
        <f>+IF(G13+[1]SADC!G13-[1]SADC!H13-H13&gt;0,G13+[1]SADC!G13-[1]SADC!H13-H13,0)</f>
        <v>105</v>
      </c>
      <c r="J13" s="182">
        <f>+IF(H13+[1]SADC!H13-[1]SADC!G13-G13&gt;0,H13+[1]SADC!H13-[1]SADC!G13-G13,0)</f>
        <v>0</v>
      </c>
      <c r="K13" s="182">
        <f>+IF(I13+[1]SADC!I13-[1]SADC!J13-J13&gt;0,I13+[1]SADC!I13-[1]SADC!J13-J13,0)</f>
        <v>105</v>
      </c>
      <c r="L13" s="182">
        <f>+IF(J13+[1]SADC!J13-[1]SADC!I13-I13&gt;0,J13+[1]SADC!J13-[1]SADC!I13-I13,0)</f>
        <v>0</v>
      </c>
      <c r="M13" s="182">
        <f>+IF(K13+[1]SADC!K13-[1]SADC!L13-L13&gt;0,K13+[1]SADC!K13-[1]SADC!L13-L13,0)</f>
        <v>105</v>
      </c>
      <c r="N13" s="182">
        <f>+IF(L13+[1]SADC!L13-[1]SADC!K13-K13&gt;0,L13+[1]SADC!L13-[1]SADC!K13-K13,0)</f>
        <v>0</v>
      </c>
      <c r="O13" s="182">
        <f>+IF(M13+[1]SADC!M13-[1]SADC!N13-N13&gt;0,M13+[1]SADC!M13-[1]SADC!N13-N13,0)</f>
        <v>105</v>
      </c>
      <c r="P13" s="182">
        <f>+IF(N13+[1]SADC!N13-[1]SADC!M13-M13&gt;0,N13+[1]SADC!N13-[1]SADC!M13-M13,0)</f>
        <v>0</v>
      </c>
      <c r="Q13" s="182">
        <f>+IF(O13+[1]SADC!O13-[1]SADC!P13-P13&gt;0,O13+[1]SADC!O13-[1]SADC!P13-P13,0)</f>
        <v>105</v>
      </c>
      <c r="R13" s="182">
        <f>+IF(P13+[1]SADC!P13-[1]SADC!O13-O13&gt;0,P13+[1]SADC!P13-[1]SADC!O13-O13,0)</f>
        <v>0</v>
      </c>
      <c r="S13" s="182">
        <f>+IF(Q13+[1]SADC!Q13-[1]SADC!R13-R13&gt;0,Q13+[1]SADC!Q13-[1]SADC!R13-R13,0)</f>
        <v>105</v>
      </c>
      <c r="T13" s="182">
        <f>+IF(R13+[1]SADC!R13-[1]SADC!Q13-Q13&gt;0,R13+[1]SADC!R13-[1]SADC!Q13-Q13,0)</f>
        <v>0</v>
      </c>
      <c r="U13" s="182">
        <f>+IF(S13+[1]SADC!S13-[1]SADC!T13-T13&gt;0,S13+[1]SADC!S13-[1]SADC!T13-T13,0)</f>
        <v>105</v>
      </c>
      <c r="V13" s="182">
        <f>+IF(T13+[1]SADC!T13-[1]SADC!S13-S13&gt;0,T13+[1]SADC!T13-[1]SADC!S13-S13,0)</f>
        <v>0</v>
      </c>
      <c r="W13" s="182">
        <f>+IF(U13+[1]SADC!U13-[1]SADC!V13-V13&gt;0,U13+[1]SADC!U13-[1]SADC!V13-V13,0)</f>
        <v>105</v>
      </c>
      <c r="X13" s="182">
        <f>+IF(V13+[1]SADC!V13-[1]SADC!U13-U13&gt;0,V13+[1]SADC!V13-[1]SADC!U13-U13,0)</f>
        <v>0</v>
      </c>
      <c r="Y13" s="182">
        <f>+IF(W13+[1]SADC!W13-[1]SADC!X13-X13&gt;0,W13+[1]SADC!W13-[1]SADC!X13-X13,0)</f>
        <v>105</v>
      </c>
      <c r="Z13" s="182">
        <f>+IF(X13+[1]SADC!X13-[1]SADC!W13-W13&gt;0,X13+[1]SADC!X13-[1]SADC!W13-W13,0)</f>
        <v>0</v>
      </c>
      <c r="AA13" s="182">
        <f>+IF(Y13+[1]SADC!Y13-[1]SADC!Z13-Z13&gt;0,Y13+[1]SADC!Y13-[1]SADC!Z13-Z13,0)</f>
        <v>105</v>
      </c>
      <c r="AB13" s="182">
        <f>+IF(Z13+[1]SADC!Z13-[1]SADC!Y13-Y13&gt;0,Z13+[1]SADC!Z13-[1]SADC!Y13-Y13,0)</f>
        <v>0</v>
      </c>
      <c r="AC13" s="181"/>
      <c r="AD13" s="182">
        <f>+AA13</f>
        <v>105</v>
      </c>
      <c r="AE13" s="182">
        <f>+AB13</f>
        <v>0</v>
      </c>
      <c r="AF13" s="181"/>
    </row>
    <row r="14" spans="1:32">
      <c r="A14" s="181" t="str">
        <f>+VLOOKUP(B14,'[1]coa-mgb'!A$1:B$65536,2,0)</f>
        <v>Petty Cash Fund</v>
      </c>
      <c r="B14" s="184" t="s">
        <v>11</v>
      </c>
      <c r="C14" s="182">
        <f>+SUMIFS('[1]10101020 00'!$F$1:$F$65536,'[1]10101020 00'!$D$1:$D$65536,"Beginning Balance",'[1]10101020 00'!$D$1:$D$65536,"Beginning Balance")</f>
        <v>0</v>
      </c>
      <c r="D14" s="182">
        <f>+SUMIFS('[1]10101020 00'!$H$1:$H$65536,'[1]10101020 00'!$D$1:$D$65536,"Beginning Balance",'[1]10101020 00'!$D$1:$D$65536,"Beginning Balance")</f>
        <v>0</v>
      </c>
      <c r="E14" s="182">
        <f>+IF(C14+[1]SADC!C14-[1]SADC!D14-D14&gt;0,C14+[1]SADC!C14-[1]SADC!D14-D14,0)</f>
        <v>0</v>
      </c>
      <c r="F14" s="182">
        <f>+IF(D14+[1]SADC!D14-[1]SADC!C14-C14&gt;0,D14+[1]SADC!D14-[1]SADC!C14-C14,0)</f>
        <v>0</v>
      </c>
      <c r="G14" s="182">
        <f>+IF(E14+[1]SADC!E14-[1]SADC!F14-F14&gt;0,E14+[1]SADC!E14-[1]SADC!F14-F14,0)</f>
        <v>0</v>
      </c>
      <c r="H14" s="182">
        <f>+IF(F14+[1]SADC!F14-[1]SADC!E14-E14&gt;0,F14+[1]SADC!F14-[1]SADC!E14-E14,0)</f>
        <v>0</v>
      </c>
      <c r="I14" s="182">
        <f>+IF(G14+[1]SADC!G14-[1]SADC!H14-H14&gt;0,G14+[1]SADC!G14-[1]SADC!H14-H14,0)</f>
        <v>40000</v>
      </c>
      <c r="J14" s="182">
        <f>+IF(H14+[1]SADC!H14-[1]SADC!G14-G14&gt;0,H14+[1]SADC!H14-[1]SADC!G14-G14,0)</f>
        <v>0</v>
      </c>
      <c r="K14" s="182">
        <f>+IF(I14+[1]SADC!I14-[1]SADC!J14-J14&gt;0,I14+[1]SADC!I14-[1]SADC!J14-J14,0)</f>
        <v>40000</v>
      </c>
      <c r="L14" s="182">
        <f>+IF(J14+[1]SADC!J14-[1]SADC!I14-I14&gt;0,J14+[1]SADC!J14-[1]SADC!I14-I14,0)</f>
        <v>0</v>
      </c>
      <c r="M14" s="182">
        <f>+IF(K14+[1]SADC!K14-[1]SADC!L14-L14&gt;0,K14+[1]SADC!K14-[1]SADC!L14-L14,0)</f>
        <v>40000</v>
      </c>
      <c r="N14" s="182">
        <f>+IF(L14+[1]SADC!L14-[1]SADC!K14-K14&gt;0,L14+[1]SADC!L14-[1]SADC!K14-K14,0)</f>
        <v>0</v>
      </c>
      <c r="O14" s="182">
        <f>+IF(M14+[1]SADC!M14-[1]SADC!N14-N14&gt;0,M14+[1]SADC!M14-[1]SADC!N14-N14,0)</f>
        <v>40000</v>
      </c>
      <c r="P14" s="182">
        <f>+IF(N14+[1]SADC!N14-[1]SADC!M14-M14&gt;0,N14+[1]SADC!N14-[1]SADC!M14-M14,0)</f>
        <v>0</v>
      </c>
      <c r="Q14" s="182">
        <f>+IF(O14+[1]SADC!O14-[1]SADC!P14-P14&gt;0,O14+[1]SADC!O14-[1]SADC!P14-P14,0)</f>
        <v>40000</v>
      </c>
      <c r="R14" s="182">
        <f>+IF(P14+[1]SADC!P14-[1]SADC!O14-O14&gt;0,P14+[1]SADC!P14-[1]SADC!O14-O14,0)</f>
        <v>0</v>
      </c>
      <c r="S14" s="182">
        <f>+IF(Q14+[1]SADC!Q14-[1]SADC!R14-R14&gt;0,Q14+[1]SADC!Q14-[1]SADC!R14-R14,0)</f>
        <v>40000</v>
      </c>
      <c r="T14" s="182">
        <f>+IF(R14+[1]SADC!R14-[1]SADC!Q14-Q14&gt;0,R14+[1]SADC!R14-[1]SADC!Q14-Q14,0)</f>
        <v>0</v>
      </c>
      <c r="U14" s="182">
        <f>+IF(S14+[1]SADC!S14-[1]SADC!T14-T14&gt;0,S14+[1]SADC!S14-[1]SADC!T14-T14,0)</f>
        <v>40000</v>
      </c>
      <c r="V14" s="182">
        <f>+IF(T14+[1]SADC!T14-[1]SADC!S14-S14&gt;0,T14+[1]SADC!T14-[1]SADC!S14-S14,0)</f>
        <v>0</v>
      </c>
      <c r="W14" s="182">
        <f>+IF(U14+[1]SADC!U14-[1]SADC!V14-V14&gt;0,U14+[1]SADC!U14-[1]SADC!V14-V14,0)</f>
        <v>40000</v>
      </c>
      <c r="X14" s="182">
        <f>+IF(V14+[1]SADC!V14-[1]SADC!U14-U14&gt;0,V14+[1]SADC!V14-[1]SADC!U14-U14,0)</f>
        <v>0</v>
      </c>
      <c r="Y14" s="182">
        <f>+IF(W14+[1]SADC!W14-[1]SADC!X14-X14&gt;0,W14+[1]SADC!W14-[1]SADC!X14-X14,0)</f>
        <v>40000</v>
      </c>
      <c r="Z14" s="182">
        <f>+IF(X14+[1]SADC!X14-[1]SADC!W14-W14&gt;0,X14+[1]SADC!X14-[1]SADC!W14-W14,0)</f>
        <v>0</v>
      </c>
      <c r="AA14" s="182">
        <f>+IF(Y14+[1]SADC!Y14-[1]SADC!Z14-Z14&gt;0,Y14+[1]SADC!Y14-[1]SADC!Z14-Z14,0)</f>
        <v>40000</v>
      </c>
      <c r="AB14" s="182">
        <f>+IF(Z14+[1]SADC!Z14-[1]SADC!Y14-Y14&gt;0,Z14+[1]SADC!Z14-[1]SADC!Y14-Y14,0)</f>
        <v>0</v>
      </c>
      <c r="AC14" s="181"/>
      <c r="AD14" s="182">
        <f t="shared" ref="AD14:AE77" si="0">+AA14</f>
        <v>40000</v>
      </c>
      <c r="AE14" s="182">
        <f t="shared" si="0"/>
        <v>0</v>
      </c>
      <c r="AF14" s="181"/>
    </row>
    <row r="15" spans="1:32">
      <c r="A15" s="181" t="str">
        <f>+VLOOKUP(B15,'[1]coa-mgb'!A$1:B$65536,2,0)</f>
        <v>Cash in Bank - Local Currency, Current Account</v>
      </c>
      <c r="B15" s="184" t="s">
        <v>12</v>
      </c>
      <c r="C15" s="182">
        <f>+SUMIFS('[1]10102020 00'!$F$1:$F$65536,'[1]10102020 00'!$D$1:$D$65536,"Beginning Balance",'[1]10102020 00'!$D$1:$D$65536,"Beginning Balance")</f>
        <v>662458.87</v>
      </c>
      <c r="D15" s="182">
        <f>+SUMIFS('[1]10102020 00'!$H$1:$H$65536,'[1]10102020 00'!$D$1:$D$65536,"Beginning Balance",'[1]10102020 00'!$D$1:$D$65536,"Beginning Balance")</f>
        <v>0</v>
      </c>
      <c r="E15" s="182">
        <f>+IF(C15+[1]SADC!C15-[1]SADC!D15-D15&gt;0,C15+[1]SADC!C15-[1]SADC!D15-D15,0)</f>
        <v>662458.87</v>
      </c>
      <c r="F15" s="182">
        <f>+IF(D15+[1]SADC!D15-[1]SADC!C15-C15&gt;0,D15+[1]SADC!D15-[1]SADC!C15-C15,0)</f>
        <v>0</v>
      </c>
      <c r="G15" s="182">
        <f>+IF(E15+[1]SADC!E15-[1]SADC!F15-F15&gt;0,E15+[1]SADC!E15-[1]SADC!F15-F15,0)</f>
        <v>662458.87</v>
      </c>
      <c r="H15" s="182">
        <f>+IF(F15+[1]SADC!F15-[1]SADC!E15-E15&gt;0,F15+[1]SADC!F15-[1]SADC!E15-E15,0)</f>
        <v>0</v>
      </c>
      <c r="I15" s="182">
        <f>+IF(G15+[1]SADC!G15-[1]SADC!H15-H15&gt;0,G15+[1]SADC!G15-[1]SADC!H15-H15,0)</f>
        <v>662458.87</v>
      </c>
      <c r="J15" s="182">
        <f>+IF(H15+[1]SADC!H15-[1]SADC!G15-G15&gt;0,H15+[1]SADC!H15-[1]SADC!G15-G15,0)</f>
        <v>0</v>
      </c>
      <c r="K15" s="182">
        <f>+IF(I15+[1]SADC!I15-[1]SADC!J15-J15&gt;0,I15+[1]SADC!I15-[1]SADC!J15-J15,0)</f>
        <v>662458.87</v>
      </c>
      <c r="L15" s="182">
        <f>+IF(J15+[1]SADC!J15-[1]SADC!I15-I15&gt;0,J15+[1]SADC!J15-[1]SADC!I15-I15,0)</f>
        <v>0</v>
      </c>
      <c r="M15" s="182">
        <f>+IF(K15+[1]SADC!K15-[1]SADC!L15-L15&gt;0,K15+[1]SADC!K15-[1]SADC!L15-L15,0)</f>
        <v>662458.87</v>
      </c>
      <c r="N15" s="182">
        <f>+IF(L15+[1]SADC!L15-[1]SADC!K15-K15&gt;0,L15+[1]SADC!L15-[1]SADC!K15-K15,0)</f>
        <v>0</v>
      </c>
      <c r="O15" s="182">
        <f>+IF(M15+[1]SADC!M15-[1]SADC!N15-N15&gt;0,M15+[1]SADC!M15-[1]SADC!N15-N15,0)</f>
        <v>662458.87</v>
      </c>
      <c r="P15" s="182">
        <f>+IF(N15+[1]SADC!N15-[1]SADC!M15-M15&gt;0,N15+[1]SADC!N15-[1]SADC!M15-M15,0)</f>
        <v>0</v>
      </c>
      <c r="Q15" s="182">
        <f>+IF(O15+[1]SADC!O15-[1]SADC!P15-P15&gt;0,O15+[1]SADC!O15-[1]SADC!P15-P15,0)</f>
        <v>662458.87</v>
      </c>
      <c r="R15" s="182">
        <f>+IF(P15+[1]SADC!P15-[1]SADC!O15-O15&gt;0,P15+[1]SADC!P15-[1]SADC!O15-O15,0)</f>
        <v>0</v>
      </c>
      <c r="S15" s="182">
        <f>+IF(Q15+[1]SADC!Q15-[1]SADC!R15-R15&gt;0,Q15+[1]SADC!Q15-[1]SADC!R15-R15,0)</f>
        <v>662458.87</v>
      </c>
      <c r="T15" s="182">
        <f>+IF(R15+[1]SADC!R15-[1]SADC!Q15-Q15&gt;0,R15+[1]SADC!R15-[1]SADC!Q15-Q15,0)</f>
        <v>0</v>
      </c>
      <c r="U15" s="182">
        <f>+IF(S15+[1]SADC!S15-[1]SADC!T15-T15&gt;0,S15+[1]SADC!S15-[1]SADC!T15-T15,0)</f>
        <v>662458.87</v>
      </c>
      <c r="V15" s="182">
        <f>+IF(T15+[1]SADC!T15-[1]SADC!S15-S15&gt;0,T15+[1]SADC!T15-[1]SADC!S15-S15,0)</f>
        <v>0</v>
      </c>
      <c r="W15" s="182">
        <f>+IF(U15+[1]SADC!U15-[1]SADC!V15-V15&gt;0,U15+[1]SADC!U15-[1]SADC!V15-V15,0)</f>
        <v>662458.87</v>
      </c>
      <c r="X15" s="182">
        <f>+IF(V15+[1]SADC!V15-[1]SADC!U15-U15&gt;0,V15+[1]SADC!V15-[1]SADC!U15-U15,0)</f>
        <v>0</v>
      </c>
      <c r="Y15" s="182">
        <f>+IF(W15+[1]SADC!W15-[1]SADC!X15-X15&gt;0,W15+[1]SADC!W15-[1]SADC!X15-X15,0)</f>
        <v>662458.87</v>
      </c>
      <c r="Z15" s="182">
        <f>+IF(X15+[1]SADC!X15-[1]SADC!W15-W15&gt;0,X15+[1]SADC!X15-[1]SADC!W15-W15,0)</f>
        <v>0</v>
      </c>
      <c r="AA15" s="182">
        <f>+IF(Y15+[1]SADC!Y15-[1]SADC!Z15-Z15&gt;0,Y15+[1]SADC!Y15-[1]SADC!Z15-Z15,0)</f>
        <v>662458.87</v>
      </c>
      <c r="AB15" s="182">
        <f>+IF(Z15+[1]SADC!Z15-[1]SADC!Y15-Y15&gt;0,Z15+[1]SADC!Z15-[1]SADC!Y15-Y15,0)</f>
        <v>0</v>
      </c>
      <c r="AC15" s="181"/>
      <c r="AD15" s="182">
        <f>+AA15</f>
        <v>662458.87</v>
      </c>
      <c r="AE15" s="182">
        <f t="shared" si="0"/>
        <v>0</v>
      </c>
      <c r="AF15" s="181"/>
    </row>
    <row r="16" spans="1:32">
      <c r="A16" s="181" t="str">
        <f>+VLOOKUP(B16,'[1]coa-mgb'!A$1:B$65536,2,0)</f>
        <v>Cash - Treasury/Agency Deposit, Regular</v>
      </c>
      <c r="B16" s="184" t="s">
        <v>13</v>
      </c>
      <c r="C16" s="182">
        <f>+SUMIFS('[1]10104010 00'!$F$1:$F$65536,'[1]10104010 00'!$D$1:$D$65536,"Beginning Balance",'[1]10104010 00'!$D$1:$D$65536,"Beginning Balance")</f>
        <v>0</v>
      </c>
      <c r="D16" s="182">
        <f>+SUMIFS('[1]10104010 00'!$H$1:$H$65536,'[1]10104010 00'!$D$1:$D$65536,"Beginning Balance",'[1]10104010 00'!$D$1:$D$65536,"Beginning Balance")</f>
        <v>0</v>
      </c>
      <c r="E16" s="182">
        <f>+IF(C16+[1]SADC!C16-[1]SADC!D16-D16&gt;0,C16+[1]SADC!C16-[1]SADC!D16-D16,0)</f>
        <v>403315</v>
      </c>
      <c r="F16" s="182">
        <f>+IF(D16+[1]SADC!D16-[1]SADC!C16-C16&gt;0,D16+[1]SADC!D16-[1]SADC!C16-C16,0)</f>
        <v>0</v>
      </c>
      <c r="G16" s="182">
        <f>+IF(E16+[1]SADC!E16-[1]SADC!F16-F16&gt;0,E16+[1]SADC!E16-[1]SADC!F16-F16,0)</f>
        <v>832741</v>
      </c>
      <c r="H16" s="182">
        <f>+IF(F16+[1]SADC!F16-[1]SADC!E16-E16&gt;0,F16+[1]SADC!F16-[1]SADC!E16-E16,0)</f>
        <v>0</v>
      </c>
      <c r="I16" s="182">
        <f>+IF(G16+[1]SADC!G16-[1]SADC!H16-H16&gt;0,G16+[1]SADC!G16-[1]SADC!H16-H16,0)</f>
        <v>1271501</v>
      </c>
      <c r="J16" s="182">
        <f>+IF(H16+[1]SADC!H16-[1]SADC!G16-G16&gt;0,H16+[1]SADC!H16-[1]SADC!G16-G16,0)</f>
        <v>0</v>
      </c>
      <c r="K16" s="182">
        <f>+IF(I16+[1]SADC!I16-[1]SADC!J16-J16&gt;0,I16+[1]SADC!I16-[1]SADC!J16-J16,0)</f>
        <v>1271501</v>
      </c>
      <c r="L16" s="182">
        <f>+IF(J16+[1]SADC!J16-[1]SADC!I16-I16&gt;0,J16+[1]SADC!J16-[1]SADC!I16-I16,0)</f>
        <v>0</v>
      </c>
      <c r="M16" s="182">
        <f>+IF(K16+[1]SADC!K16-[1]SADC!L16-L16&gt;0,K16+[1]SADC!K16-[1]SADC!L16-L16,0)</f>
        <v>1271501</v>
      </c>
      <c r="N16" s="182">
        <f>+IF(L16+[1]SADC!L16-[1]SADC!K16-K16&gt;0,L16+[1]SADC!L16-[1]SADC!K16-K16,0)</f>
        <v>0</v>
      </c>
      <c r="O16" s="182">
        <f>+IF(M16+[1]SADC!M16-[1]SADC!N16-N16&gt;0,M16+[1]SADC!M16-[1]SADC!N16-N16,0)</f>
        <v>1271501</v>
      </c>
      <c r="P16" s="182">
        <f>+IF(N16+[1]SADC!N16-[1]SADC!M16-M16&gt;0,N16+[1]SADC!N16-[1]SADC!M16-M16,0)</f>
        <v>0</v>
      </c>
      <c r="Q16" s="182">
        <f>+IF(O16+[1]SADC!O16-[1]SADC!P16-P16&gt;0,O16+[1]SADC!O16-[1]SADC!P16-P16,0)</f>
        <v>1271501</v>
      </c>
      <c r="R16" s="182">
        <f>+IF(P16+[1]SADC!P16-[1]SADC!O16-O16&gt;0,P16+[1]SADC!P16-[1]SADC!O16-O16,0)</f>
        <v>0</v>
      </c>
      <c r="S16" s="182">
        <f>+IF(Q16+[1]SADC!Q16-[1]SADC!R16-R16&gt;0,Q16+[1]SADC!Q16-[1]SADC!R16-R16,0)</f>
        <v>1271501</v>
      </c>
      <c r="T16" s="182">
        <f>+IF(R16+[1]SADC!R16-[1]SADC!Q16-Q16&gt;0,R16+[1]SADC!R16-[1]SADC!Q16-Q16,0)</f>
        <v>0</v>
      </c>
      <c r="U16" s="182">
        <f>+IF(S16+[1]SADC!S16-[1]SADC!T16-T16&gt;0,S16+[1]SADC!S16-[1]SADC!T16-T16,0)</f>
        <v>1271501</v>
      </c>
      <c r="V16" s="182">
        <f>+IF(T16+[1]SADC!T16-[1]SADC!S16-S16&gt;0,T16+[1]SADC!T16-[1]SADC!S16-S16,0)</f>
        <v>0</v>
      </c>
      <c r="W16" s="182">
        <f>+IF(U16+[1]SADC!U16-[1]SADC!V16-V16&gt;0,U16+[1]SADC!U16-[1]SADC!V16-V16,0)</f>
        <v>1271501</v>
      </c>
      <c r="X16" s="182">
        <f>+IF(V16+[1]SADC!V16-[1]SADC!U16-U16&gt;0,V16+[1]SADC!V16-[1]SADC!U16-U16,0)</f>
        <v>0</v>
      </c>
      <c r="Y16" s="182">
        <f>+IF(W16+[1]SADC!W16-[1]SADC!X16-X16&gt;0,W16+[1]SADC!W16-[1]SADC!X16-X16,0)</f>
        <v>1271501</v>
      </c>
      <c r="Z16" s="182">
        <f>+IF(X16+[1]SADC!X16-[1]SADC!W16-W16&gt;0,X16+[1]SADC!X16-[1]SADC!W16-W16,0)</f>
        <v>0</v>
      </c>
      <c r="AA16" s="182">
        <f>+IF(Y16+[1]SADC!Y16-[1]SADC!Z16-Z16&gt;0,Y16+[1]SADC!Y16-[1]SADC!Z16-Z16,0)</f>
        <v>1271501</v>
      </c>
      <c r="AB16" s="182">
        <f>+IF(Z16+[1]SADC!Z16-[1]SADC!Y16-Y16&gt;0,Z16+[1]SADC!Z16-[1]SADC!Y16-Y16,0)</f>
        <v>0</v>
      </c>
      <c r="AC16" s="181"/>
      <c r="AD16" s="182">
        <f t="shared" si="0"/>
        <v>1271501</v>
      </c>
      <c r="AE16" s="182">
        <f t="shared" si="0"/>
        <v>0</v>
      </c>
      <c r="AF16" s="181"/>
    </row>
    <row r="17" spans="1:32">
      <c r="A17" s="181" t="str">
        <f>+VLOOKUP(B17,'[1]coa-mgb'!A$1:B$65536,2,0)</f>
        <v>Cash - Treasury/Agency Deposit, Special</v>
      </c>
      <c r="B17" s="184" t="s">
        <v>14</v>
      </c>
      <c r="C17" s="182">
        <f>+SUMIFS('[1]10104020 00'!$F$1:$F$65536,'[1]10104020 00'!$D$1:$D$65536,"Beginning Balance",'[1]10104020 00'!$D$1:$D$65536,"Beginning Balance")</f>
        <v>0</v>
      </c>
      <c r="D17" s="182">
        <f>+SUMIFS('[1]10104020 00'!$H$1:$H$65536,'[1]10104020 00'!$D$1:$D$65536,"Beginning Balance",'[1]10104020 00'!$D$1:$D$65536,"Beginning Balance")</f>
        <v>0</v>
      </c>
      <c r="E17" s="182">
        <f>+IF(C17+[1]SADC!C17-[1]SADC!D17-D17&gt;0,C17+[1]SADC!C17-[1]SADC!D17-D17,0)</f>
        <v>0</v>
      </c>
      <c r="F17" s="182">
        <f>+IF(D17+[1]SADC!D17-[1]SADC!C17-C17&gt;0,D17+[1]SADC!D17-[1]SADC!C17-C17,0)</f>
        <v>0</v>
      </c>
      <c r="G17" s="182">
        <f>+IF(E17+[1]SADC!E17-[1]SADC!F17-F17&gt;0,E17+[1]SADC!E17-[1]SADC!F17-F17,0)</f>
        <v>0</v>
      </c>
      <c r="H17" s="182">
        <f>+IF(F17+[1]SADC!F17-[1]SADC!E17-E17&gt;0,F17+[1]SADC!F17-[1]SADC!E17-E17,0)</f>
        <v>0</v>
      </c>
      <c r="I17" s="182">
        <f>+IF(G17+[1]SADC!G17-[1]SADC!H17-H17&gt;0,G17+[1]SADC!G17-[1]SADC!H17-H17,0)</f>
        <v>0</v>
      </c>
      <c r="J17" s="182">
        <f>+IF(H17+[1]SADC!H17-[1]SADC!G17-G17&gt;0,H17+[1]SADC!H17-[1]SADC!G17-G17,0)</f>
        <v>0</v>
      </c>
      <c r="K17" s="182">
        <f>+IF(I17+[1]SADC!I17-[1]SADC!J17-J17&gt;0,I17+[1]SADC!I17-[1]SADC!J17-J17,0)</f>
        <v>0</v>
      </c>
      <c r="L17" s="182">
        <f>+IF(J17+[1]SADC!J17-[1]SADC!I17-I17&gt;0,J17+[1]SADC!J17-[1]SADC!I17-I17,0)</f>
        <v>0</v>
      </c>
      <c r="M17" s="182">
        <f>+IF(K17+[1]SADC!K17-[1]SADC!L17-L17&gt;0,K17+[1]SADC!K17-[1]SADC!L17-L17,0)</f>
        <v>0</v>
      </c>
      <c r="N17" s="182">
        <f>+IF(L17+[1]SADC!L17-[1]SADC!K17-K17&gt;0,L17+[1]SADC!L17-[1]SADC!K17-K17,0)</f>
        <v>0</v>
      </c>
      <c r="O17" s="182">
        <f>+IF(M17+[1]SADC!M17-[1]SADC!N17-N17&gt;0,M17+[1]SADC!M17-[1]SADC!N17-N17,0)</f>
        <v>0</v>
      </c>
      <c r="P17" s="182">
        <f>+IF(N17+[1]SADC!N17-[1]SADC!M17-M17&gt;0,N17+[1]SADC!N17-[1]SADC!M17-M17,0)</f>
        <v>0</v>
      </c>
      <c r="Q17" s="182">
        <f>+IF(O17+[1]SADC!O17-[1]SADC!P17-P17&gt;0,O17+[1]SADC!O17-[1]SADC!P17-P17,0)</f>
        <v>0</v>
      </c>
      <c r="R17" s="182">
        <f>+IF(P17+[1]SADC!P17-[1]SADC!O17-O17&gt;0,P17+[1]SADC!P17-[1]SADC!O17-O17,0)</f>
        <v>0</v>
      </c>
      <c r="S17" s="182">
        <f>+IF(Q17+[1]SADC!Q17-[1]SADC!R17-R17&gt;0,Q17+[1]SADC!Q17-[1]SADC!R17-R17,0)</f>
        <v>0</v>
      </c>
      <c r="T17" s="182">
        <f>+IF(R17+[1]SADC!R17-[1]SADC!Q17-Q17&gt;0,R17+[1]SADC!R17-[1]SADC!Q17-Q17,0)</f>
        <v>0</v>
      </c>
      <c r="U17" s="182">
        <f>+IF(S17+[1]SADC!S17-[1]SADC!T17-T17&gt;0,S17+[1]SADC!S17-[1]SADC!T17-T17,0)</f>
        <v>0</v>
      </c>
      <c r="V17" s="182">
        <f>+IF(T17+[1]SADC!T17-[1]SADC!S17-S17&gt;0,T17+[1]SADC!T17-[1]SADC!S17-S17,0)</f>
        <v>0</v>
      </c>
      <c r="W17" s="182">
        <f>+IF(U17+[1]SADC!U17-[1]SADC!V17-V17&gt;0,U17+[1]SADC!U17-[1]SADC!V17-V17,0)</f>
        <v>0</v>
      </c>
      <c r="X17" s="182">
        <f>+IF(V17+[1]SADC!V17-[1]SADC!U17-U17&gt;0,V17+[1]SADC!V17-[1]SADC!U17-U17,0)</f>
        <v>0</v>
      </c>
      <c r="Y17" s="182">
        <f>+IF(W17+[1]SADC!W17-[1]SADC!X17-X17&gt;0,W17+[1]SADC!W17-[1]SADC!X17-X17,0)</f>
        <v>0</v>
      </c>
      <c r="Z17" s="182">
        <f>+IF(X17+[1]SADC!X17-[1]SADC!W17-W17&gt;0,X17+[1]SADC!X17-[1]SADC!W17-W17,0)</f>
        <v>0</v>
      </c>
      <c r="AA17" s="182">
        <f>+IF(Y17+[1]SADC!Y17-[1]SADC!Z17-Z17&gt;0,Y17+[1]SADC!Y17-[1]SADC!Z17-Z17,0)</f>
        <v>0</v>
      </c>
      <c r="AB17" s="182">
        <f>+IF(Z17+[1]SADC!Z17-[1]SADC!Y17-Y17&gt;0,Z17+[1]SADC!Z17-[1]SADC!Y17-Y17,0)</f>
        <v>0</v>
      </c>
      <c r="AC17" s="181"/>
      <c r="AD17" s="182">
        <f t="shared" si="0"/>
        <v>0</v>
      </c>
      <c r="AE17" s="182">
        <f t="shared" si="0"/>
        <v>0</v>
      </c>
      <c r="AF17" s="181"/>
    </row>
    <row r="18" spans="1:32">
      <c r="A18" s="181" t="str">
        <f>+VLOOKUP(B18,'[1]coa-mgb'!A$1:B$65536,2,0)</f>
        <v>Cash - Treasury/Agency Deposit, Trust</v>
      </c>
      <c r="B18" s="184" t="s">
        <v>15</v>
      </c>
      <c r="C18" s="182">
        <f>+SUMIFS('[1]10104030 00'!$F$1:$F$65536,'[1]10104030 00'!$D$1:$D$65536,"Beginning Balance",'[1]10104030 00'!$D$1:$D$65536,"Beginning Balance")</f>
        <v>0</v>
      </c>
      <c r="D18" s="182">
        <f>+SUMIFS('[1]10104030 00'!$H$1:$H$65536,'[1]10104030 00'!$D$1:$D$65536,"Beginning Balance",'[1]10104030 00'!$D$1:$D$65536,"Beginning Balance")</f>
        <v>0</v>
      </c>
      <c r="E18" s="182">
        <f>+IF(C18+[1]SADC!C18-[1]SADC!D18-D18&gt;0,C18+[1]SADC!C18-[1]SADC!D18-D18,0)</f>
        <v>0</v>
      </c>
      <c r="F18" s="182">
        <f>+IF(D18+[1]SADC!D18-[1]SADC!C18-C18&gt;0,D18+[1]SADC!D18-[1]SADC!C18-C18,0)</f>
        <v>0</v>
      </c>
      <c r="G18" s="182">
        <f>+IF(E18+[1]SADC!E18-[1]SADC!F18-F18&gt;0,E18+[1]SADC!E18-[1]SADC!F18-F18,0)</f>
        <v>0</v>
      </c>
      <c r="H18" s="182">
        <f>+IF(F18+[1]SADC!F18-[1]SADC!E18-E18&gt;0,F18+[1]SADC!F18-[1]SADC!E18-E18,0)</f>
        <v>0</v>
      </c>
      <c r="I18" s="182">
        <f>+IF(G18+[1]SADC!G18-[1]SADC!H18-H18&gt;0,G18+[1]SADC!G18-[1]SADC!H18-H18,0)</f>
        <v>0</v>
      </c>
      <c r="J18" s="182">
        <f>+IF(H18+[1]SADC!H18-[1]SADC!G18-G18&gt;0,H18+[1]SADC!H18-[1]SADC!G18-G18,0)</f>
        <v>0</v>
      </c>
      <c r="K18" s="182">
        <f>+IF(I18+[1]SADC!I18-[1]SADC!J18-J18&gt;0,I18+[1]SADC!I18-[1]SADC!J18-J18,0)</f>
        <v>0</v>
      </c>
      <c r="L18" s="182">
        <f>+IF(J18+[1]SADC!J18-[1]SADC!I18-I18&gt;0,J18+[1]SADC!J18-[1]SADC!I18-I18,0)</f>
        <v>0</v>
      </c>
      <c r="M18" s="182">
        <f>+IF(K18+[1]SADC!K18-[1]SADC!L18-L18&gt;0,K18+[1]SADC!K18-[1]SADC!L18-L18,0)</f>
        <v>0</v>
      </c>
      <c r="N18" s="182">
        <f>+IF(L18+[1]SADC!L18-[1]SADC!K18-K18&gt;0,L18+[1]SADC!L18-[1]SADC!K18-K18,0)</f>
        <v>0</v>
      </c>
      <c r="O18" s="182">
        <f>+IF(M18+[1]SADC!M18-[1]SADC!N18-N18&gt;0,M18+[1]SADC!M18-[1]SADC!N18-N18,0)</f>
        <v>0</v>
      </c>
      <c r="P18" s="182">
        <f>+IF(N18+[1]SADC!N18-[1]SADC!M18-M18&gt;0,N18+[1]SADC!N18-[1]SADC!M18-M18,0)</f>
        <v>0</v>
      </c>
      <c r="Q18" s="182">
        <f>+IF(O18+[1]SADC!O18-[1]SADC!P18-P18&gt;0,O18+[1]SADC!O18-[1]SADC!P18-P18,0)</f>
        <v>0</v>
      </c>
      <c r="R18" s="182">
        <f>+IF(P18+[1]SADC!P18-[1]SADC!O18-O18&gt;0,P18+[1]SADC!P18-[1]SADC!O18-O18,0)</f>
        <v>0</v>
      </c>
      <c r="S18" s="182">
        <f>+IF(Q18+[1]SADC!Q18-[1]SADC!R18-R18&gt;0,Q18+[1]SADC!Q18-[1]SADC!R18-R18,0)</f>
        <v>0</v>
      </c>
      <c r="T18" s="182">
        <f>+IF(R18+[1]SADC!R18-[1]SADC!Q18-Q18&gt;0,R18+[1]SADC!R18-[1]SADC!Q18-Q18,0)</f>
        <v>0</v>
      </c>
      <c r="U18" s="182">
        <f>+IF(S18+[1]SADC!S18-[1]SADC!T18-T18&gt;0,S18+[1]SADC!S18-[1]SADC!T18-T18,0)</f>
        <v>0</v>
      </c>
      <c r="V18" s="182">
        <f>+IF(T18+[1]SADC!T18-[1]SADC!S18-S18&gt;0,T18+[1]SADC!T18-[1]SADC!S18-S18,0)</f>
        <v>0</v>
      </c>
      <c r="W18" s="182">
        <f>+IF(U18+[1]SADC!U18-[1]SADC!V18-V18&gt;0,U18+[1]SADC!U18-[1]SADC!V18-V18,0)</f>
        <v>0</v>
      </c>
      <c r="X18" s="182">
        <f>+IF(V18+[1]SADC!V18-[1]SADC!U18-U18&gt;0,V18+[1]SADC!V18-[1]SADC!U18-U18,0)</f>
        <v>0</v>
      </c>
      <c r="Y18" s="182">
        <f>+IF(W18+[1]SADC!W18-[1]SADC!X18-X18&gt;0,W18+[1]SADC!W18-[1]SADC!X18-X18,0)</f>
        <v>0</v>
      </c>
      <c r="Z18" s="182">
        <f>+IF(X18+[1]SADC!X18-[1]SADC!W18-W18&gt;0,X18+[1]SADC!X18-[1]SADC!W18-W18,0)</f>
        <v>0</v>
      </c>
      <c r="AA18" s="182">
        <f>+IF(Y18+[1]SADC!Y18-[1]SADC!Z18-Z18&gt;0,Y18+[1]SADC!Y18-[1]SADC!Z18-Z18,0)</f>
        <v>0</v>
      </c>
      <c r="AB18" s="182">
        <f>+IF(Z18+[1]SADC!Z18-[1]SADC!Y18-Y18&gt;0,Z18+[1]SADC!Z18-[1]SADC!Y18-Y18,0)</f>
        <v>0</v>
      </c>
      <c r="AC18" s="181"/>
      <c r="AD18" s="182">
        <f t="shared" si="0"/>
        <v>0</v>
      </c>
      <c r="AE18" s="182">
        <f t="shared" si="0"/>
        <v>0</v>
      </c>
      <c r="AF18" s="181"/>
    </row>
    <row r="19" spans="1:32">
      <c r="A19" s="181" t="str">
        <f>+VLOOKUP(B19,'[1]coa-mgb'!A$1:B$65536,2,0)</f>
        <v>Cash - Modified Disbursement System (MDS), Regular</v>
      </c>
      <c r="B19" s="184" t="s">
        <v>16</v>
      </c>
      <c r="C19" s="182">
        <f>+SUMIFS('[1]10104040 00'!$F$1:$F$65536,'[1]10104040 00'!$D$1:$D$65536,"Beginning Balance",'[1]10104040 00'!$D$1:$D$65536,"Beginning Balance")</f>
        <v>0</v>
      </c>
      <c r="D19" s="182">
        <f>+SUMIFS('[1]10104040 00'!$H$1:$H$65536,'[1]10104040 00'!$D$1:$D$65536,"Beginning Balance",'[1]10104040 00'!$D$1:$D$65536,"Beginning Balance")</f>
        <v>0</v>
      </c>
      <c r="E19" s="182">
        <f>+IF(C19+[1]SADC!C19-[1]SADC!D19-D19&gt;0,C19+[1]SADC!C19-[1]SADC!D19-D19,0)</f>
        <v>265979.12000000011</v>
      </c>
      <c r="F19" s="182">
        <f>+IF(D19+[1]SADC!D19-[1]SADC!C19-C19&gt;0,D19+[1]SADC!D19-[1]SADC!C19-C19,0)</f>
        <v>0</v>
      </c>
      <c r="G19" s="182">
        <f>+IF(E19+[1]SADC!E19-[1]SADC!F19-F19&gt;0,E19+[1]SADC!E19-[1]SADC!F19-F19,0)</f>
        <v>337520.84000000032</v>
      </c>
      <c r="H19" s="182">
        <f>+IF(F19+[1]SADC!F19-[1]SADC!E19-E19&gt;0,F19+[1]SADC!F19-[1]SADC!E19-E19,0)</f>
        <v>0</v>
      </c>
      <c r="I19" s="182">
        <f>+IF(G19+[1]SADC!G19-[1]SADC!H19-H19&gt;0,G19+[1]SADC!G19-[1]SADC!H19-H19,0)</f>
        <v>4.6566128730773926E-10</v>
      </c>
      <c r="J19" s="182">
        <f>+IF(H19+[1]SADC!H19-[1]SADC!G19-G19&gt;0,H19+[1]SADC!H19-[1]SADC!G19-G19,0)</f>
        <v>0</v>
      </c>
      <c r="K19" s="182">
        <f>+IF(I19+[1]SADC!I19-[1]SADC!J19-J19&gt;0,I19+[1]SADC!I19-[1]SADC!J19-J19,0)</f>
        <v>4.6566128730773926E-10</v>
      </c>
      <c r="L19" s="182">
        <f>+IF(J19+[1]SADC!J19-[1]SADC!I19-I19&gt;0,J19+[1]SADC!J19-[1]SADC!I19-I19,0)</f>
        <v>0</v>
      </c>
      <c r="M19" s="182">
        <f>+IF(K19+[1]SADC!K19-[1]SADC!L19-L19&gt;0,K19+[1]SADC!K19-[1]SADC!L19-L19,0)</f>
        <v>4.6566128730773926E-10</v>
      </c>
      <c r="N19" s="182">
        <f>+IF(L19+[1]SADC!L19-[1]SADC!K19-K19&gt;0,L19+[1]SADC!L19-[1]SADC!K19-K19,0)</f>
        <v>0</v>
      </c>
      <c r="O19" s="182">
        <f>+IF(M19+[1]SADC!M19-[1]SADC!N19-N19&gt;0,M19+[1]SADC!M19-[1]SADC!N19-N19,0)</f>
        <v>4.6566128730773926E-10</v>
      </c>
      <c r="P19" s="182">
        <f>+IF(N19+[1]SADC!N19-[1]SADC!M19-M19&gt;0,N19+[1]SADC!N19-[1]SADC!M19-M19,0)</f>
        <v>0</v>
      </c>
      <c r="Q19" s="182">
        <f>+IF(O19+[1]SADC!O19-[1]SADC!P19-P19&gt;0,O19+[1]SADC!O19-[1]SADC!P19-P19,0)</f>
        <v>4.6566128730773926E-10</v>
      </c>
      <c r="R19" s="182">
        <f>+IF(P19+[1]SADC!P19-[1]SADC!O19-O19&gt;0,P19+[1]SADC!P19-[1]SADC!O19-O19,0)</f>
        <v>0</v>
      </c>
      <c r="S19" s="182">
        <f>+IF(Q19+[1]SADC!Q19-[1]SADC!R19-R19&gt;0,Q19+[1]SADC!Q19-[1]SADC!R19-R19,0)</f>
        <v>4.6566128730773926E-10</v>
      </c>
      <c r="T19" s="182">
        <f>+IF(R19+[1]SADC!R19-[1]SADC!Q19-Q19&gt;0,R19+[1]SADC!R19-[1]SADC!Q19-Q19,0)</f>
        <v>0</v>
      </c>
      <c r="U19" s="182">
        <f>+IF(S19+[1]SADC!S19-[1]SADC!T19-T19&gt;0,S19+[1]SADC!S19-[1]SADC!T19-T19,0)</f>
        <v>4.6566128730773926E-10</v>
      </c>
      <c r="V19" s="182">
        <f>+IF(T19+[1]SADC!T19-[1]SADC!S19-S19&gt;0,T19+[1]SADC!T19-[1]SADC!S19-S19,0)</f>
        <v>0</v>
      </c>
      <c r="W19" s="182">
        <f>+IF(U19+[1]SADC!U19-[1]SADC!V19-V19&gt;0,U19+[1]SADC!U19-[1]SADC!V19-V19,0)</f>
        <v>4.6566128730773926E-10</v>
      </c>
      <c r="X19" s="182">
        <f>+IF(V19+[1]SADC!V19-[1]SADC!U19-U19&gt;0,V19+[1]SADC!V19-[1]SADC!U19-U19,0)</f>
        <v>0</v>
      </c>
      <c r="Y19" s="182">
        <f>+IF(W19+[1]SADC!W19-[1]SADC!X19-X19&gt;0,W19+[1]SADC!W19-[1]SADC!X19-X19,0)</f>
        <v>4.6566128730773926E-10</v>
      </c>
      <c r="Z19" s="182">
        <f>+IF(X19+[1]SADC!X19-[1]SADC!W19-W19&gt;0,X19+[1]SADC!X19-[1]SADC!W19-W19,0)</f>
        <v>0</v>
      </c>
      <c r="AA19" s="182">
        <f>+IF(Y19+[1]SADC!Y19-[1]SADC!Z19-Z19&gt;0,Y19+[1]SADC!Y19-[1]SADC!Z19-Z19,0)</f>
        <v>4.6566128730773926E-10</v>
      </c>
      <c r="AB19" s="182">
        <f>+IF(Z19+[1]SADC!Z19-[1]SADC!Y19-Y19&gt;0,Z19+[1]SADC!Z19-[1]SADC!Y19-Y19,0)</f>
        <v>0</v>
      </c>
      <c r="AC19" s="181"/>
      <c r="AD19" s="182">
        <f t="shared" si="0"/>
        <v>4.6566128730773926E-10</v>
      </c>
      <c r="AE19" s="182">
        <f t="shared" si="0"/>
        <v>0</v>
      </c>
      <c r="AF19" s="181"/>
    </row>
    <row r="20" spans="1:32">
      <c r="A20" s="181" t="str">
        <f>+VLOOKUP(B20,'[1]coa-mgb'!A$1:B$65536,2,0)</f>
        <v>Cash - Modified Disbursement System (MDS), Special Account</v>
      </c>
      <c r="B20" s="184" t="s">
        <v>17</v>
      </c>
      <c r="C20" s="182">
        <f>+SUMIFS('[1]10104050 00'!$F$1:$F$65536,'[1]10104050 00'!$D$1:$D$65536,"Beginning Balance",'[1]10104050 00'!$D$1:$D$65536,"Beginning Balance")</f>
        <v>0</v>
      </c>
      <c r="D20" s="182">
        <f>+SUMIFS('[1]10104050 00'!$H$1:$H$65536,'[1]10104050 00'!$D$1:$D$65536,"Beginning Balance",'[1]10104050 00'!$D$1:$D$65536,"Beginning Balance")</f>
        <v>0</v>
      </c>
      <c r="E20" s="182">
        <f>+IF(C20+[1]SADC!C20-[1]SADC!D20-D20&gt;0,C20+[1]SADC!C20-[1]SADC!D20-D20,0)</f>
        <v>0</v>
      </c>
      <c r="F20" s="182">
        <f>+IF(D20+[1]SADC!D20-[1]SADC!C20-C20&gt;0,D20+[1]SADC!D20-[1]SADC!C20-C20,0)</f>
        <v>0</v>
      </c>
      <c r="G20" s="182">
        <f>+IF(E20+[1]SADC!E20-[1]SADC!F20-F20&gt;0,E20+[1]SADC!E20-[1]SADC!F20-F20,0)</f>
        <v>0</v>
      </c>
      <c r="H20" s="182">
        <f>+IF(F20+[1]SADC!F20-[1]SADC!E20-E20&gt;0,F20+[1]SADC!F20-[1]SADC!E20-E20,0)</f>
        <v>0</v>
      </c>
      <c r="I20" s="182">
        <f>+IF(G20+[1]SADC!G20-[1]SADC!H20-H20&gt;0,G20+[1]SADC!G20-[1]SADC!H20-H20,0)</f>
        <v>0</v>
      </c>
      <c r="J20" s="182">
        <f>+IF(H20+[1]SADC!H20-[1]SADC!G20-G20&gt;0,H20+[1]SADC!H20-[1]SADC!G20-G20,0)</f>
        <v>0</v>
      </c>
      <c r="K20" s="182">
        <f>+IF(I20+[1]SADC!I20-[1]SADC!J20-J20&gt;0,I20+[1]SADC!I20-[1]SADC!J20-J20,0)</f>
        <v>0</v>
      </c>
      <c r="L20" s="182">
        <f>+IF(J20+[1]SADC!J20-[1]SADC!I20-I20&gt;0,J20+[1]SADC!J20-[1]SADC!I20-I20,0)</f>
        <v>0</v>
      </c>
      <c r="M20" s="182">
        <f>+IF(K20+[1]SADC!K20-[1]SADC!L20-L20&gt;0,K20+[1]SADC!K20-[1]SADC!L20-L20,0)</f>
        <v>0</v>
      </c>
      <c r="N20" s="182">
        <f>+IF(L20+[1]SADC!L20-[1]SADC!K20-K20&gt;0,L20+[1]SADC!L20-[1]SADC!K20-K20,0)</f>
        <v>0</v>
      </c>
      <c r="O20" s="182">
        <f>+IF(M20+[1]SADC!M20-[1]SADC!N20-N20&gt;0,M20+[1]SADC!M20-[1]SADC!N20-N20,0)</f>
        <v>0</v>
      </c>
      <c r="P20" s="182">
        <f>+IF(N20+[1]SADC!N20-[1]SADC!M20-M20&gt;0,N20+[1]SADC!N20-[1]SADC!M20-M20,0)</f>
        <v>0</v>
      </c>
      <c r="Q20" s="182">
        <f>+IF(O20+[1]SADC!O20-[1]SADC!P20-P20&gt;0,O20+[1]SADC!O20-[1]SADC!P20-P20,0)</f>
        <v>0</v>
      </c>
      <c r="R20" s="182">
        <f>+IF(P20+[1]SADC!P20-[1]SADC!O20-O20&gt;0,P20+[1]SADC!P20-[1]SADC!O20-O20,0)</f>
        <v>0</v>
      </c>
      <c r="S20" s="182">
        <f>+IF(Q20+[1]SADC!Q20-[1]SADC!R20-R20&gt;0,Q20+[1]SADC!Q20-[1]SADC!R20-R20,0)</f>
        <v>0</v>
      </c>
      <c r="T20" s="182">
        <f>+IF(R20+[1]SADC!R20-[1]SADC!Q20-Q20&gt;0,R20+[1]SADC!R20-[1]SADC!Q20-Q20,0)</f>
        <v>0</v>
      </c>
      <c r="U20" s="182">
        <f>+IF(S20+[1]SADC!S20-[1]SADC!T20-T20&gt;0,S20+[1]SADC!S20-[1]SADC!T20-T20,0)</f>
        <v>0</v>
      </c>
      <c r="V20" s="182">
        <f>+IF(T20+[1]SADC!T20-[1]SADC!S20-S20&gt;0,T20+[1]SADC!T20-[1]SADC!S20-S20,0)</f>
        <v>0</v>
      </c>
      <c r="W20" s="182">
        <f>+IF(U20+[1]SADC!U20-[1]SADC!V20-V20&gt;0,U20+[1]SADC!U20-[1]SADC!V20-V20,0)</f>
        <v>0</v>
      </c>
      <c r="X20" s="182">
        <f>+IF(V20+[1]SADC!V20-[1]SADC!U20-U20&gt;0,V20+[1]SADC!V20-[1]SADC!U20-U20,0)</f>
        <v>0</v>
      </c>
      <c r="Y20" s="182">
        <f>+IF(W20+[1]SADC!W20-[1]SADC!X20-X20&gt;0,W20+[1]SADC!W20-[1]SADC!X20-X20,0)</f>
        <v>0</v>
      </c>
      <c r="Z20" s="182">
        <f>+IF(X20+[1]SADC!X20-[1]SADC!W20-W20&gt;0,X20+[1]SADC!X20-[1]SADC!W20-W20,0)</f>
        <v>0</v>
      </c>
      <c r="AA20" s="182">
        <f>+IF(Y20+[1]SADC!Y20-[1]SADC!Z20-Z20&gt;0,Y20+[1]SADC!Y20-[1]SADC!Z20-Z20,0)</f>
        <v>0</v>
      </c>
      <c r="AB20" s="182">
        <f>+IF(Z20+[1]SADC!Z20-[1]SADC!Y20-Y20&gt;0,Z20+[1]SADC!Z20-[1]SADC!Y20-Y20,0)</f>
        <v>0</v>
      </c>
      <c r="AC20" s="181"/>
      <c r="AD20" s="182">
        <f t="shared" si="0"/>
        <v>0</v>
      </c>
      <c r="AE20" s="182">
        <f t="shared" si="0"/>
        <v>0</v>
      </c>
      <c r="AF20" s="181"/>
    </row>
    <row r="21" spans="1:32">
      <c r="A21" s="181" t="str">
        <f>+VLOOKUP(B21,'[1]coa-mgb'!A$1:B$65536,2,0)</f>
        <v>Cash - Tax Remittance Advice</v>
      </c>
      <c r="B21" s="184" t="s">
        <v>675</v>
      </c>
      <c r="C21" s="182">
        <f>+SUMIFS('[1]10104070 00'!$F$1:$F$65536,'[1]10104070 00'!$D$1:$D$65536,"Beginning Balance",'[1]10104070 00'!$D$1:$D$65536,"Beginning Balance")</f>
        <v>0</v>
      </c>
      <c r="D21" s="182">
        <f>+SUMIFS('[1]10104070 00'!$H$1:$H$65536,'[1]10104070 00'!$D$1:$D$65536,"Beginning Balance",'[1]10104070 00'!$D$1:$D$65536,"Beginning Balance")</f>
        <v>0</v>
      </c>
      <c r="E21" s="182">
        <f>+IF(C21+[1]SADC!C21-[1]SADC!D21-D21&gt;0,C21+[1]SADC!C21-[1]SADC!D21-D21,0)</f>
        <v>0</v>
      </c>
      <c r="F21" s="182">
        <f>+IF(D21+[1]SADC!D21-[1]SADC!C21-C21&gt;0,D21+[1]SADC!D21-[1]SADC!C21-C21,0)</f>
        <v>0</v>
      </c>
      <c r="G21" s="182">
        <f>+IF(E21+[1]SADC!E21-[1]SADC!F21-F21&gt;0,E21+[1]SADC!E21-[1]SADC!F21-F21,0)</f>
        <v>0</v>
      </c>
      <c r="H21" s="182">
        <f>+IF(F21+[1]SADC!F21-[1]SADC!E21-E21&gt;0,F21+[1]SADC!F21-[1]SADC!E21-E21,0)</f>
        <v>0</v>
      </c>
      <c r="I21" s="182">
        <f>+IF(G21+[1]SADC!G21-[1]SADC!H21-H21&gt;0,G21+[1]SADC!G21-[1]SADC!H21-H21,0)</f>
        <v>0</v>
      </c>
      <c r="J21" s="182">
        <f>+IF(H21+[1]SADC!H21-[1]SADC!G21-G21&gt;0,H21+[1]SADC!H21-[1]SADC!G21-G21,0)</f>
        <v>0</v>
      </c>
      <c r="K21" s="182">
        <f>+IF(I21+[1]SADC!I21-[1]SADC!J21-J21&gt;0,I21+[1]SADC!I21-[1]SADC!J21-J21,0)</f>
        <v>0</v>
      </c>
      <c r="L21" s="182">
        <f>+IF(J21+[1]SADC!J21-[1]SADC!I21-I21&gt;0,J21+[1]SADC!J21-[1]SADC!I21-I21,0)</f>
        <v>0</v>
      </c>
      <c r="M21" s="182">
        <f>+IF(K21+[1]SADC!K21-[1]SADC!L21-L21&gt;0,K21+[1]SADC!K21-[1]SADC!L21-L21,0)</f>
        <v>0</v>
      </c>
      <c r="N21" s="182">
        <f>+IF(L21+[1]SADC!L21-[1]SADC!K21-K21&gt;0,L21+[1]SADC!L21-[1]SADC!K21-K21,0)</f>
        <v>0</v>
      </c>
      <c r="O21" s="182">
        <f>+IF(M21+[1]SADC!M21-[1]SADC!N21-N21&gt;0,M21+[1]SADC!M21-[1]SADC!N21-N21,0)</f>
        <v>0</v>
      </c>
      <c r="P21" s="182">
        <f>+IF(N21+[1]SADC!N21-[1]SADC!M21-M21&gt;0,N21+[1]SADC!N21-[1]SADC!M21-M21,0)</f>
        <v>0</v>
      </c>
      <c r="Q21" s="182">
        <f>+IF(O21+[1]SADC!O21-[1]SADC!P21-P21&gt;0,O21+[1]SADC!O21-[1]SADC!P21-P21,0)</f>
        <v>0</v>
      </c>
      <c r="R21" s="182">
        <f>+IF(P21+[1]SADC!P21-[1]SADC!O21-O21&gt;0,P21+[1]SADC!P21-[1]SADC!O21-O21,0)</f>
        <v>0</v>
      </c>
      <c r="S21" s="182">
        <f>+IF(Q21+[1]SADC!Q21-[1]SADC!R21-R21&gt;0,Q21+[1]SADC!Q21-[1]SADC!R21-R21,0)</f>
        <v>0</v>
      </c>
      <c r="T21" s="182">
        <f>+IF(R21+[1]SADC!R21-[1]SADC!Q21-Q21&gt;0,R21+[1]SADC!R21-[1]SADC!Q21-Q21,0)</f>
        <v>0</v>
      </c>
      <c r="U21" s="182">
        <f>+IF(S21+[1]SADC!S21-[1]SADC!T21-T21&gt;0,S21+[1]SADC!S21-[1]SADC!T21-T21,0)</f>
        <v>0</v>
      </c>
      <c r="V21" s="182">
        <f>+IF(T21+[1]SADC!T21-[1]SADC!S21-S21&gt;0,T21+[1]SADC!T21-[1]SADC!S21-S21,0)</f>
        <v>0</v>
      </c>
      <c r="W21" s="182">
        <f>+IF(U21+[1]SADC!U21-[1]SADC!V21-V21&gt;0,U21+[1]SADC!U21-[1]SADC!V21-V21,0)</f>
        <v>0</v>
      </c>
      <c r="X21" s="182">
        <f>+IF(V21+[1]SADC!V21-[1]SADC!U21-U21&gt;0,V21+[1]SADC!V21-[1]SADC!U21-U21,0)</f>
        <v>0</v>
      </c>
      <c r="Y21" s="182">
        <f>+IF(W21+[1]SADC!W21-[1]SADC!X21-X21&gt;0,W21+[1]SADC!W21-[1]SADC!X21-X21,0)</f>
        <v>0</v>
      </c>
      <c r="Z21" s="182">
        <f>+IF(X21+[1]SADC!X21-[1]SADC!W21-W21&gt;0,X21+[1]SADC!X21-[1]SADC!W21-W21,0)</f>
        <v>0</v>
      </c>
      <c r="AA21" s="182">
        <f>+IF(Y21+[1]SADC!Y21-[1]SADC!Z21-Z21&gt;0,Y21+[1]SADC!Y21-[1]SADC!Z21-Z21,0)</f>
        <v>0</v>
      </c>
      <c r="AB21" s="182">
        <f>+IF(Z21+[1]SADC!Z21-[1]SADC!Y21-Y21&gt;0,Z21+[1]SADC!Z21-[1]SADC!Y21-Y21,0)</f>
        <v>0</v>
      </c>
      <c r="AC21" s="181"/>
      <c r="AD21" s="182">
        <f t="shared" si="0"/>
        <v>0</v>
      </c>
      <c r="AE21" s="182">
        <f t="shared" si="0"/>
        <v>0</v>
      </c>
      <c r="AF21" s="181"/>
    </row>
    <row r="22" spans="1:32">
      <c r="A22" s="181" t="str">
        <f>+VLOOKUP(B22,'[1]coa-mgb'!A$1:B$65536,2,0)</f>
        <v>Accounts Receivable</v>
      </c>
      <c r="B22" s="184" t="s">
        <v>18</v>
      </c>
      <c r="C22" s="182">
        <f>+SUMIFS('[1]10301010 00'!$F$1:$F$65536,'[1]10301010 00'!$D$1:$D$65536,"Beginning Balance",'[1]10301010 00'!$D$1:$D$65536,"Beginning Balance")</f>
        <v>0</v>
      </c>
      <c r="D22" s="182">
        <f>+SUMIFS('[1]10301010 00'!$H$1:$H$65536,'[1]10301010 00'!$D$1:$D$65536,"Beginning Balance",'[1]10301010 00'!$D$1:$D$65536,"Beginning Balance")</f>
        <v>0</v>
      </c>
      <c r="E22" s="182">
        <f>+IF(C22+[1]SADC!C22-[1]SADC!D22-D22&gt;0,C22+[1]SADC!C22-[1]SADC!D22-D22,0)</f>
        <v>0</v>
      </c>
      <c r="F22" s="182">
        <f>+IF(D22+[1]SADC!D22-[1]SADC!C22-C22&gt;0,D22+[1]SADC!D22-[1]SADC!C22-C22,0)</f>
        <v>0</v>
      </c>
      <c r="G22" s="182">
        <f>+IF(E22+[1]SADC!E22-[1]SADC!F22-F22&gt;0,E22+[1]SADC!E22-[1]SADC!F22-F22,0)</f>
        <v>0</v>
      </c>
      <c r="H22" s="182">
        <f>+IF(F22+[1]SADC!F22-[1]SADC!E22-E22&gt;0,F22+[1]SADC!F22-[1]SADC!E22-E22,0)</f>
        <v>0</v>
      </c>
      <c r="I22" s="182">
        <f>+IF(G22+[1]SADC!G22-[1]SADC!H22-H22&gt;0,G22+[1]SADC!G22-[1]SADC!H22-H22,0)</f>
        <v>0</v>
      </c>
      <c r="J22" s="182">
        <f>+IF(H22+[1]SADC!H22-[1]SADC!G22-G22&gt;0,H22+[1]SADC!H22-[1]SADC!G22-G22,0)</f>
        <v>0</v>
      </c>
      <c r="K22" s="182">
        <f>+IF(I22+[1]SADC!I22-[1]SADC!J22-J22&gt;0,I22+[1]SADC!I22-[1]SADC!J22-J22,0)</f>
        <v>0</v>
      </c>
      <c r="L22" s="182">
        <f>+IF(J22+[1]SADC!J22-[1]SADC!I22-I22&gt;0,J22+[1]SADC!J22-[1]SADC!I22-I22,0)</f>
        <v>0</v>
      </c>
      <c r="M22" s="182">
        <f>+IF(K22+[1]SADC!K22-[1]SADC!L22-L22&gt;0,K22+[1]SADC!K22-[1]SADC!L22-L22,0)</f>
        <v>0</v>
      </c>
      <c r="N22" s="182">
        <f>+IF(L22+[1]SADC!L22-[1]SADC!K22-K22&gt;0,L22+[1]SADC!L22-[1]SADC!K22-K22,0)</f>
        <v>0</v>
      </c>
      <c r="O22" s="182">
        <f>+IF(M22+[1]SADC!M22-[1]SADC!N22-N22&gt;0,M22+[1]SADC!M22-[1]SADC!N22-N22,0)</f>
        <v>0</v>
      </c>
      <c r="P22" s="182">
        <f>+IF(N22+[1]SADC!N22-[1]SADC!M22-M22&gt;0,N22+[1]SADC!N22-[1]SADC!M22-M22,0)</f>
        <v>0</v>
      </c>
      <c r="Q22" s="182">
        <f>+IF(O22+[1]SADC!O22-[1]SADC!P22-P22&gt;0,O22+[1]SADC!O22-[1]SADC!P22-P22,0)</f>
        <v>0</v>
      </c>
      <c r="R22" s="182">
        <f>+IF(P22+[1]SADC!P22-[1]SADC!O22-O22&gt;0,P22+[1]SADC!P22-[1]SADC!O22-O22,0)</f>
        <v>0</v>
      </c>
      <c r="S22" s="182">
        <f>+IF(Q22+[1]SADC!Q22-[1]SADC!R22-R22&gt;0,Q22+[1]SADC!Q22-[1]SADC!R22-R22,0)</f>
        <v>0</v>
      </c>
      <c r="T22" s="182">
        <f>+IF(R22+[1]SADC!R22-[1]SADC!Q22-Q22&gt;0,R22+[1]SADC!R22-[1]SADC!Q22-Q22,0)</f>
        <v>0</v>
      </c>
      <c r="U22" s="182">
        <f>+IF(S22+[1]SADC!S22-[1]SADC!T22-T22&gt;0,S22+[1]SADC!S22-[1]SADC!T22-T22,0)</f>
        <v>0</v>
      </c>
      <c r="V22" s="182">
        <f>+IF(T22+[1]SADC!T22-[1]SADC!S22-S22&gt;0,T22+[1]SADC!T22-[1]SADC!S22-S22,0)</f>
        <v>0</v>
      </c>
      <c r="W22" s="182">
        <f>+IF(U22+[1]SADC!U22-[1]SADC!V22-V22&gt;0,U22+[1]SADC!U22-[1]SADC!V22-V22,0)</f>
        <v>0</v>
      </c>
      <c r="X22" s="182">
        <f>+IF(V22+[1]SADC!V22-[1]SADC!U22-U22&gt;0,V22+[1]SADC!V22-[1]SADC!U22-U22,0)</f>
        <v>0</v>
      </c>
      <c r="Y22" s="182">
        <f>+IF(W22+[1]SADC!W22-[1]SADC!X22-X22&gt;0,W22+[1]SADC!W22-[1]SADC!X22-X22,0)</f>
        <v>0</v>
      </c>
      <c r="Z22" s="182">
        <f>+IF(X22+[1]SADC!X22-[1]SADC!W22-W22&gt;0,X22+[1]SADC!X22-[1]SADC!W22-W22,0)</f>
        <v>0</v>
      </c>
      <c r="AA22" s="182">
        <f>+IF(Y22+[1]SADC!Y22-[1]SADC!Z22-Z22&gt;0,Y22+[1]SADC!Y22-[1]SADC!Z22-Z22,0)</f>
        <v>0</v>
      </c>
      <c r="AB22" s="182">
        <f>+IF(Z22+[1]SADC!Z22-[1]SADC!Y22-Y22&gt;0,Z22+[1]SADC!Z22-[1]SADC!Y22-Y22,0)</f>
        <v>0</v>
      </c>
      <c r="AC22" s="181"/>
      <c r="AD22" s="182">
        <f t="shared" si="0"/>
        <v>0</v>
      </c>
      <c r="AE22" s="182">
        <f t="shared" si="0"/>
        <v>0</v>
      </c>
      <c r="AF22" s="181"/>
    </row>
    <row r="23" spans="1:32">
      <c r="A23" s="181" t="str">
        <f>+VLOOKUP(B23,'[1]coa-mgb'!A$1:B$65536,2,0)</f>
        <v>Receivables - Disallowances/Charges</v>
      </c>
      <c r="B23" s="184" t="s">
        <v>23</v>
      </c>
      <c r="C23" s="182">
        <f>+SUMIFS('[1]10305010 00'!$F$1:$F$65536,'[1]10305010 00'!$D$1:$D$65536,"Beginning Balance",'[1]10305010 00'!$D$1:$D$65536,"Beginning Balance")</f>
        <v>150868.79999999999</v>
      </c>
      <c r="D23" s="182">
        <f>+SUMIFS('[1]10305010 00'!$H$1:$H$65536,'[1]10305010 00'!$D$1:$D$65536,"Beginning Balance",'[1]10305010 00'!$D$1:$D$65536,"Beginning Balance")</f>
        <v>0</v>
      </c>
      <c r="E23" s="182">
        <f>+IF(C23+[1]SADC!C23-[1]SADC!D23-D23&gt;0,C23+[1]SADC!C23-[1]SADC!D23-D23,0)</f>
        <v>150868.79999999999</v>
      </c>
      <c r="F23" s="182">
        <f>+IF(D23+[1]SADC!D23-[1]SADC!C23-C23&gt;0,D23+[1]SADC!D23-[1]SADC!C23-C23,0)</f>
        <v>0</v>
      </c>
      <c r="G23" s="182">
        <f>+IF(E23+[1]SADC!E23-[1]SADC!F23-F23&gt;0,E23+[1]SADC!E23-[1]SADC!F23-F23,0)</f>
        <v>150868.79999999999</v>
      </c>
      <c r="H23" s="182">
        <f>+IF(F23+[1]SADC!F23-[1]SADC!E23-E23&gt;0,F23+[1]SADC!F23-[1]SADC!E23-E23,0)</f>
        <v>0</v>
      </c>
      <c r="I23" s="182">
        <f>+IF(G23+[1]SADC!G23-[1]SADC!H23-H23&gt;0,G23+[1]SADC!G23-[1]SADC!H23-H23,0)</f>
        <v>150868.79999999999</v>
      </c>
      <c r="J23" s="182">
        <f>+IF(H23+[1]SADC!H23-[1]SADC!G23-G23&gt;0,H23+[1]SADC!H23-[1]SADC!G23-G23,0)</f>
        <v>0</v>
      </c>
      <c r="K23" s="182">
        <f>+IF(I23+[1]SADC!I23-[1]SADC!J23-J23&gt;0,I23+[1]SADC!I23-[1]SADC!J23-J23,0)</f>
        <v>150868.79999999999</v>
      </c>
      <c r="L23" s="182">
        <f>+IF(J23+[1]SADC!J23-[1]SADC!I23-I23&gt;0,J23+[1]SADC!J23-[1]SADC!I23-I23,0)</f>
        <v>0</v>
      </c>
      <c r="M23" s="182">
        <f>+IF(K23+[1]SADC!K23-[1]SADC!L23-L23&gt;0,K23+[1]SADC!K23-[1]SADC!L23-L23,0)</f>
        <v>150868.79999999999</v>
      </c>
      <c r="N23" s="182">
        <f>+IF(L23+[1]SADC!L23-[1]SADC!K23-K23&gt;0,L23+[1]SADC!L23-[1]SADC!K23-K23,0)</f>
        <v>0</v>
      </c>
      <c r="O23" s="182">
        <f>+IF(M23+[1]SADC!M23-[1]SADC!N23-N23&gt;0,M23+[1]SADC!M23-[1]SADC!N23-N23,0)</f>
        <v>150868.79999999999</v>
      </c>
      <c r="P23" s="182">
        <f>+IF(N23+[1]SADC!N23-[1]SADC!M23-M23&gt;0,N23+[1]SADC!N23-[1]SADC!M23-M23,0)</f>
        <v>0</v>
      </c>
      <c r="Q23" s="182">
        <f>+IF(O23+[1]SADC!O23-[1]SADC!P23-P23&gt;0,O23+[1]SADC!O23-[1]SADC!P23-P23,0)</f>
        <v>150868.79999999999</v>
      </c>
      <c r="R23" s="182">
        <f>+IF(P23+[1]SADC!P23-[1]SADC!O23-O23&gt;0,P23+[1]SADC!P23-[1]SADC!O23-O23,0)</f>
        <v>0</v>
      </c>
      <c r="S23" s="182">
        <f>+IF(Q23+[1]SADC!Q23-[1]SADC!R23-R23&gt;0,Q23+[1]SADC!Q23-[1]SADC!R23-R23,0)</f>
        <v>150868.79999999999</v>
      </c>
      <c r="T23" s="182">
        <f>+IF(R23+[1]SADC!R23-[1]SADC!Q23-Q23&gt;0,R23+[1]SADC!R23-[1]SADC!Q23-Q23,0)</f>
        <v>0</v>
      </c>
      <c r="U23" s="182">
        <f>+IF(S23+[1]SADC!S23-[1]SADC!T23-T23&gt;0,S23+[1]SADC!S23-[1]SADC!T23-T23,0)</f>
        <v>150868.79999999999</v>
      </c>
      <c r="V23" s="182">
        <f>+IF(T23+[1]SADC!T23-[1]SADC!S23-S23&gt;0,T23+[1]SADC!T23-[1]SADC!S23-S23,0)</f>
        <v>0</v>
      </c>
      <c r="W23" s="182">
        <f>+IF(U23+[1]SADC!U23-[1]SADC!V23-V23&gt;0,U23+[1]SADC!U23-[1]SADC!V23-V23,0)</f>
        <v>150868.79999999999</v>
      </c>
      <c r="X23" s="182">
        <f>+IF(V23+[1]SADC!V23-[1]SADC!U23-U23&gt;0,V23+[1]SADC!V23-[1]SADC!U23-U23,0)</f>
        <v>0</v>
      </c>
      <c r="Y23" s="182">
        <f>+IF(W23+[1]SADC!W23-[1]SADC!X23-X23&gt;0,W23+[1]SADC!W23-[1]SADC!X23-X23,0)</f>
        <v>150868.79999999999</v>
      </c>
      <c r="Z23" s="182">
        <f>+IF(X23+[1]SADC!X23-[1]SADC!W23-W23&gt;0,X23+[1]SADC!X23-[1]SADC!W23-W23,0)</f>
        <v>0</v>
      </c>
      <c r="AA23" s="182">
        <f>+IF(Y23+[1]SADC!Y23-[1]SADC!Z23-Z23&gt;0,Y23+[1]SADC!Y23-[1]SADC!Z23-Z23,0)</f>
        <v>150868.79999999999</v>
      </c>
      <c r="AB23" s="182">
        <f>+IF(Z23+[1]SADC!Z23-[1]SADC!Y23-Y23&gt;0,Z23+[1]SADC!Z23-[1]SADC!Y23-Y23,0)</f>
        <v>0</v>
      </c>
      <c r="AC23" s="181"/>
      <c r="AD23" s="182">
        <f t="shared" si="0"/>
        <v>150868.79999999999</v>
      </c>
      <c r="AE23" s="182">
        <f t="shared" si="0"/>
        <v>0</v>
      </c>
      <c r="AF23" s="181"/>
    </row>
    <row r="24" spans="1:32">
      <c r="A24" s="181" t="str">
        <f>+VLOOKUP(B24,'[1]coa-mgb'!A$1:B$65536,2,0)</f>
        <v>Due from Officers &amp; Employees</v>
      </c>
      <c r="B24" s="184" t="s">
        <v>24</v>
      </c>
      <c r="C24" s="182">
        <f>+SUMIFS('[1]10305020 00'!$F$1:$F$65536,'[1]10305020 00'!$D$1:$D$65536,"Beginning Balance",'[1]10305020 00'!$D$1:$D$65536,"Beginning Balance")</f>
        <v>0</v>
      </c>
      <c r="D24" s="182">
        <f>+SUMIFS('[1]10305020 00'!$H$1:$H$65536,'[1]10305020 00'!$D$1:$D$65536,"Beginning Balance",'[1]10305020 00'!$D$1:$D$65536,"Beginning Balance")</f>
        <v>0</v>
      </c>
      <c r="E24" s="182">
        <f>+IF(C24+[1]SADC!C24-[1]SADC!D24-D24&gt;0,C24+[1]SADC!C24-[1]SADC!D24-D24,0)</f>
        <v>5040</v>
      </c>
      <c r="F24" s="182">
        <f>+IF(D24+[1]SADC!D24-[1]SADC!C24-C24&gt;0,D24+[1]SADC!D24-[1]SADC!C24-C24,0)</f>
        <v>0</v>
      </c>
      <c r="G24" s="182">
        <f>+IF(E24+[1]SADC!E24-[1]SADC!F24-F24&gt;0,E24+[1]SADC!E24-[1]SADC!F24-F24,0)</f>
        <v>5040</v>
      </c>
      <c r="H24" s="182">
        <f>+IF(F24+[1]SADC!F24-[1]SADC!E24-E24&gt;0,F24+[1]SADC!F24-[1]SADC!E24-E24,0)</f>
        <v>0</v>
      </c>
      <c r="I24" s="182">
        <f>+IF(G24+[1]SADC!G24-[1]SADC!H24-H24&gt;0,G24+[1]SADC!G24-[1]SADC!H24-H24,0)</f>
        <v>21059.000000000058</v>
      </c>
      <c r="J24" s="182">
        <f>+IF(H24+[1]SADC!H24-[1]SADC!G24-G24&gt;0,H24+[1]SADC!H24-[1]SADC!G24-G24,0)</f>
        <v>0</v>
      </c>
      <c r="K24" s="182">
        <f>+IF(I24+[1]SADC!I24-[1]SADC!J24-J24&gt;0,I24+[1]SADC!I24-[1]SADC!J24-J24,0)</f>
        <v>21059.000000000058</v>
      </c>
      <c r="L24" s="182">
        <f>+IF(J24+[1]SADC!J24-[1]SADC!I24-I24&gt;0,J24+[1]SADC!J24-[1]SADC!I24-I24,0)</f>
        <v>0</v>
      </c>
      <c r="M24" s="182">
        <f>+IF(K24+[1]SADC!K24-[1]SADC!L24-L24&gt;0,K24+[1]SADC!K24-[1]SADC!L24-L24,0)</f>
        <v>21059.000000000058</v>
      </c>
      <c r="N24" s="182">
        <f>+IF(L24+[1]SADC!L24-[1]SADC!K24-K24&gt;0,L24+[1]SADC!L24-[1]SADC!K24-K24,0)</f>
        <v>0</v>
      </c>
      <c r="O24" s="182">
        <f>+IF(M24+[1]SADC!M24-[1]SADC!N24-N24&gt;0,M24+[1]SADC!M24-[1]SADC!N24-N24,0)</f>
        <v>21059.000000000058</v>
      </c>
      <c r="P24" s="182">
        <f>+IF(N24+[1]SADC!N24-[1]SADC!M24-M24&gt;0,N24+[1]SADC!N24-[1]SADC!M24-M24,0)</f>
        <v>0</v>
      </c>
      <c r="Q24" s="182">
        <f>+IF(O24+[1]SADC!O24-[1]SADC!P24-P24&gt;0,O24+[1]SADC!O24-[1]SADC!P24-P24,0)</f>
        <v>21059.000000000058</v>
      </c>
      <c r="R24" s="182">
        <f>+IF(P24+[1]SADC!P24-[1]SADC!O24-O24&gt;0,P24+[1]SADC!P24-[1]SADC!O24-O24,0)</f>
        <v>0</v>
      </c>
      <c r="S24" s="182">
        <f>+IF(Q24+[1]SADC!Q24-[1]SADC!R24-R24&gt;0,Q24+[1]SADC!Q24-[1]SADC!R24-R24,0)</f>
        <v>21059.000000000058</v>
      </c>
      <c r="T24" s="182">
        <f>+IF(R24+[1]SADC!R24-[1]SADC!Q24-Q24&gt;0,R24+[1]SADC!R24-[1]SADC!Q24-Q24,0)</f>
        <v>0</v>
      </c>
      <c r="U24" s="182">
        <f>+IF(S24+[1]SADC!S24-[1]SADC!T24-T24&gt;0,S24+[1]SADC!S24-[1]SADC!T24-T24,0)</f>
        <v>21059.000000000058</v>
      </c>
      <c r="V24" s="182">
        <f>+IF(T24+[1]SADC!T24-[1]SADC!S24-S24&gt;0,T24+[1]SADC!T24-[1]SADC!S24-S24,0)</f>
        <v>0</v>
      </c>
      <c r="W24" s="182">
        <f>+IF(U24+[1]SADC!U24-[1]SADC!V24-V24&gt;0,U24+[1]SADC!U24-[1]SADC!V24-V24,0)</f>
        <v>21059.000000000058</v>
      </c>
      <c r="X24" s="182">
        <f>+IF(V24+[1]SADC!V24-[1]SADC!U24-U24&gt;0,V24+[1]SADC!V24-[1]SADC!U24-U24,0)</f>
        <v>0</v>
      </c>
      <c r="Y24" s="182">
        <f>+IF(W24+[1]SADC!W24-[1]SADC!X24-X24&gt;0,W24+[1]SADC!W24-[1]SADC!X24-X24,0)</f>
        <v>21059.000000000058</v>
      </c>
      <c r="Z24" s="182">
        <f>+IF(X24+[1]SADC!X24-[1]SADC!W24-W24&gt;0,X24+[1]SADC!X24-[1]SADC!W24-W24,0)</f>
        <v>0</v>
      </c>
      <c r="AA24" s="182">
        <f>+IF(Y24+[1]SADC!Y24-[1]SADC!Z24-Z24&gt;0,Y24+[1]SADC!Y24-[1]SADC!Z24-Z24,0)</f>
        <v>21059.000000000058</v>
      </c>
      <c r="AB24" s="182">
        <f>+IF(Z24+[1]SADC!Z24-[1]SADC!Y24-Y24&gt;0,Z24+[1]SADC!Z24-[1]SADC!Y24-Y24,0)</f>
        <v>0</v>
      </c>
      <c r="AC24" s="181"/>
      <c r="AD24" s="182">
        <f t="shared" si="0"/>
        <v>21059.000000000058</v>
      </c>
      <c r="AE24" s="182">
        <f t="shared" si="0"/>
        <v>0</v>
      </c>
      <c r="AF24" s="181"/>
    </row>
    <row r="25" spans="1:32">
      <c r="A25" s="181" t="str">
        <f>+VLOOKUP(B25,'[1]coa-mgb'!A$1:B$65536,2,0)</f>
        <v>Other Receivables</v>
      </c>
      <c r="B25" s="184" t="s">
        <v>26</v>
      </c>
      <c r="C25" s="182">
        <f>+SUMIFS('[1]10305990 00'!$F$1:$F$65536,'[1]10305990 00'!$D$1:$D$65536,"Beginning Balance",'[1]10305990 00'!$D$1:$D$65536,"Beginning Balance")</f>
        <v>0</v>
      </c>
      <c r="D25" s="182">
        <f>+SUMIFS('[1]10305990 00'!$H$1:$H$65536,'[1]10305990 00'!$D$1:$D$65536,"Beginning Balance",'[1]10305990 00'!$D$1:$D$65536,"Beginning Balance")</f>
        <v>0</v>
      </c>
      <c r="E25" s="182">
        <f>+IF(C25+[1]SADC!C25-[1]SADC!D25-D25&gt;0,C25+[1]SADC!C25-[1]SADC!D25-D25,0)</f>
        <v>0</v>
      </c>
      <c r="F25" s="182">
        <f>+IF(D25+[1]SADC!D25-[1]SADC!C25-C25&gt;0,D25+[1]SADC!D25-[1]SADC!C25-C25,0)</f>
        <v>0</v>
      </c>
      <c r="G25" s="182">
        <f>+IF(E25+[1]SADC!E25-[1]SADC!F25-F25&gt;0,E25+[1]SADC!E25-[1]SADC!F25-F25,0)</f>
        <v>0</v>
      </c>
      <c r="H25" s="182">
        <f>+IF(F25+[1]SADC!F25-[1]SADC!E25-E25&gt;0,F25+[1]SADC!F25-[1]SADC!E25-E25,0)</f>
        <v>0</v>
      </c>
      <c r="I25" s="182">
        <f>+IF(G25+[1]SADC!G25-[1]SADC!H25-H25&gt;0,G25+[1]SADC!G25-[1]SADC!H25-H25,0)</f>
        <v>931</v>
      </c>
      <c r="J25" s="182">
        <f>+IF(H25+[1]SADC!H25-[1]SADC!G25-G25&gt;0,H25+[1]SADC!H25-[1]SADC!G25-G25,0)</f>
        <v>0</v>
      </c>
      <c r="K25" s="182">
        <f>+IF(I25+[1]SADC!I25-[1]SADC!J25-J25&gt;0,I25+[1]SADC!I25-[1]SADC!J25-J25,0)</f>
        <v>931</v>
      </c>
      <c r="L25" s="182">
        <f>+IF(J25+[1]SADC!J25-[1]SADC!I25-I25&gt;0,J25+[1]SADC!J25-[1]SADC!I25-I25,0)</f>
        <v>0</v>
      </c>
      <c r="M25" s="182">
        <f>+IF(K25+[1]SADC!K25-[1]SADC!L25-L25&gt;0,K25+[1]SADC!K25-[1]SADC!L25-L25,0)</f>
        <v>931</v>
      </c>
      <c r="N25" s="182">
        <f>+IF(L25+[1]SADC!L25-[1]SADC!K25-K25&gt;0,L25+[1]SADC!L25-[1]SADC!K25-K25,0)</f>
        <v>0</v>
      </c>
      <c r="O25" s="182">
        <f>+IF(M25+[1]SADC!M25-[1]SADC!N25-N25&gt;0,M25+[1]SADC!M25-[1]SADC!N25-N25,0)</f>
        <v>931</v>
      </c>
      <c r="P25" s="182">
        <f>+IF(N25+[1]SADC!N25-[1]SADC!M25-M25&gt;0,N25+[1]SADC!N25-[1]SADC!M25-M25,0)</f>
        <v>0</v>
      </c>
      <c r="Q25" s="182">
        <f>+IF(O25+[1]SADC!O25-[1]SADC!P25-P25&gt;0,O25+[1]SADC!O25-[1]SADC!P25-P25,0)</f>
        <v>931</v>
      </c>
      <c r="R25" s="182">
        <f>+IF(P25+[1]SADC!P25-[1]SADC!O25-O25&gt;0,P25+[1]SADC!P25-[1]SADC!O25-O25,0)</f>
        <v>0</v>
      </c>
      <c r="S25" s="182">
        <f>+IF(Q25+[1]SADC!Q25-[1]SADC!R25-R25&gt;0,Q25+[1]SADC!Q25-[1]SADC!R25-R25,0)</f>
        <v>931</v>
      </c>
      <c r="T25" s="182">
        <f>+IF(R25+[1]SADC!R25-[1]SADC!Q25-Q25&gt;0,R25+[1]SADC!R25-[1]SADC!Q25-Q25,0)</f>
        <v>0</v>
      </c>
      <c r="U25" s="182">
        <f>+IF(S25+[1]SADC!S25-[1]SADC!T25-T25&gt;0,S25+[1]SADC!S25-[1]SADC!T25-T25,0)</f>
        <v>931</v>
      </c>
      <c r="V25" s="182">
        <f>+IF(T25+[1]SADC!T25-[1]SADC!S25-S25&gt;0,T25+[1]SADC!T25-[1]SADC!S25-S25,0)</f>
        <v>0</v>
      </c>
      <c r="W25" s="182">
        <f>+IF(U25+[1]SADC!U25-[1]SADC!V25-V25&gt;0,U25+[1]SADC!U25-[1]SADC!V25-V25,0)</f>
        <v>931</v>
      </c>
      <c r="X25" s="182">
        <f>+IF(V25+[1]SADC!V25-[1]SADC!U25-U25&gt;0,V25+[1]SADC!V25-[1]SADC!U25-U25,0)</f>
        <v>0</v>
      </c>
      <c r="Y25" s="182">
        <f>+IF(W25+[1]SADC!W25-[1]SADC!X25-X25&gt;0,W25+[1]SADC!W25-[1]SADC!X25-X25,0)</f>
        <v>931</v>
      </c>
      <c r="Z25" s="182">
        <f>+IF(X25+[1]SADC!X25-[1]SADC!W25-W25&gt;0,X25+[1]SADC!X25-[1]SADC!W25-W25,0)</f>
        <v>0</v>
      </c>
      <c r="AA25" s="182">
        <f>+IF(Y25+[1]SADC!Y25-[1]SADC!Z25-Z25&gt;0,Y25+[1]SADC!Y25-[1]SADC!Z25-Z25,0)</f>
        <v>931</v>
      </c>
      <c r="AB25" s="182">
        <f>+IF(Z25+[1]SADC!Z25-[1]SADC!Y25-Y25&gt;0,Z25+[1]SADC!Z25-[1]SADC!Y25-Y25,0)</f>
        <v>0</v>
      </c>
      <c r="AC25" s="181"/>
      <c r="AD25" s="182">
        <f t="shared" si="0"/>
        <v>931</v>
      </c>
      <c r="AE25" s="182">
        <f t="shared" si="0"/>
        <v>0</v>
      </c>
      <c r="AF25" s="181"/>
    </row>
    <row r="26" spans="1:32">
      <c r="A26" s="181" t="str">
        <f>+VLOOKUP(B26,'[1]coa-mgb'!A$1:B$65536,2,0)</f>
        <v>Office Supplies Inventory</v>
      </c>
      <c r="B26" s="184" t="s">
        <v>27</v>
      </c>
      <c r="C26" s="182">
        <f>+SUMIFS('[1]10404010 00'!$F$1:$F$65536,'[1]10404010 00'!$D$1:$D$65536,"Beginning Balance",'[1]10404010 00'!$D$1:$D$65536,"Beginning Balance")</f>
        <v>809037.6</v>
      </c>
      <c r="D26" s="182">
        <f>+SUMIFS('[1]10404010 00'!$H$1:$H$65536,'[1]10404010 00'!$D$1:$D$65536,"Beginning Balance",'[1]10404010 00'!$D$1:$D$65536,"Beginning Balance")</f>
        <v>0</v>
      </c>
      <c r="E26" s="182">
        <f>+IF(C26+[1]SADC!C26-[1]SADC!D26-D26&gt;0,C26+[1]SADC!C26-[1]SADC!D26-D26,0)</f>
        <v>730509.17999999993</v>
      </c>
      <c r="F26" s="182">
        <f>+IF(D26+[1]SADC!D26-[1]SADC!C26-C26&gt;0,D26+[1]SADC!D26-[1]SADC!C26-C26,0)</f>
        <v>0</v>
      </c>
      <c r="G26" s="182">
        <f>+IF(E26+[1]SADC!E26-[1]SADC!F26-F26&gt;0,E26+[1]SADC!E26-[1]SADC!F26-F26,0)</f>
        <v>705879.16999999993</v>
      </c>
      <c r="H26" s="182">
        <f>+IF(F26+[1]SADC!F26-[1]SADC!E26-E26&gt;0,F26+[1]SADC!F26-[1]SADC!E26-E26,0)</f>
        <v>0</v>
      </c>
      <c r="I26" s="182">
        <f>+IF(G26+[1]SADC!G26-[1]SADC!H26-H26&gt;0,G26+[1]SADC!G26-[1]SADC!H26-H26,0)</f>
        <v>734427.77999999991</v>
      </c>
      <c r="J26" s="182">
        <f>+IF(H26+[1]SADC!H26-[1]SADC!G26-G26&gt;0,H26+[1]SADC!H26-[1]SADC!G26-G26,0)</f>
        <v>0</v>
      </c>
      <c r="K26" s="182">
        <f>+IF(I26+[1]SADC!I26-[1]SADC!J26-J26&gt;0,I26+[1]SADC!I26-[1]SADC!J26-J26,0)</f>
        <v>734427.77999999991</v>
      </c>
      <c r="L26" s="182">
        <f>+IF(J26+[1]SADC!J26-[1]SADC!I26-I26&gt;0,J26+[1]SADC!J26-[1]SADC!I26-I26,0)</f>
        <v>0</v>
      </c>
      <c r="M26" s="182">
        <f>+IF(K26+[1]SADC!K26-[1]SADC!L26-L26&gt;0,K26+[1]SADC!K26-[1]SADC!L26-L26,0)</f>
        <v>734427.77999999991</v>
      </c>
      <c r="N26" s="182">
        <f>+IF(L26+[1]SADC!L26-[1]SADC!K26-K26&gt;0,L26+[1]SADC!L26-[1]SADC!K26-K26,0)</f>
        <v>0</v>
      </c>
      <c r="O26" s="182">
        <f>+IF(M26+[1]SADC!M26-[1]SADC!N26-N26&gt;0,M26+[1]SADC!M26-[1]SADC!N26-N26,0)</f>
        <v>734427.77999999991</v>
      </c>
      <c r="P26" s="182">
        <f>+IF(N26+[1]SADC!N26-[1]SADC!M26-M26&gt;0,N26+[1]SADC!N26-[1]SADC!M26-M26,0)</f>
        <v>0</v>
      </c>
      <c r="Q26" s="182">
        <f>+IF(O26+[1]SADC!O26-[1]SADC!P26-P26&gt;0,O26+[1]SADC!O26-[1]SADC!P26-P26,0)</f>
        <v>734427.77999999991</v>
      </c>
      <c r="R26" s="182">
        <f>+IF(P26+[1]SADC!P26-[1]SADC!O26-O26&gt;0,P26+[1]SADC!P26-[1]SADC!O26-O26,0)</f>
        <v>0</v>
      </c>
      <c r="S26" s="182">
        <f>+IF(Q26+[1]SADC!Q26-[1]SADC!R26-R26&gt;0,Q26+[1]SADC!Q26-[1]SADC!R26-R26,0)</f>
        <v>734427.77999999991</v>
      </c>
      <c r="T26" s="182">
        <f>+IF(R26+[1]SADC!R26-[1]SADC!Q26-Q26&gt;0,R26+[1]SADC!R26-[1]SADC!Q26-Q26,0)</f>
        <v>0</v>
      </c>
      <c r="U26" s="182">
        <f>+IF(S26+[1]SADC!S26-[1]SADC!T26-T26&gt;0,S26+[1]SADC!S26-[1]SADC!T26-T26,0)</f>
        <v>734427.77999999991</v>
      </c>
      <c r="V26" s="182">
        <f>+IF(T26+[1]SADC!T26-[1]SADC!S26-S26&gt;0,T26+[1]SADC!T26-[1]SADC!S26-S26,0)</f>
        <v>0</v>
      </c>
      <c r="W26" s="182">
        <f>+IF(U26+[1]SADC!U26-[1]SADC!V26-V26&gt;0,U26+[1]SADC!U26-[1]SADC!V26-V26,0)</f>
        <v>734427.77999999991</v>
      </c>
      <c r="X26" s="182">
        <f>+IF(V26+[1]SADC!V26-[1]SADC!U26-U26&gt;0,V26+[1]SADC!V26-[1]SADC!U26-U26,0)</f>
        <v>0</v>
      </c>
      <c r="Y26" s="182">
        <f>+IF(W26+[1]SADC!W26-[1]SADC!X26-X26&gt;0,W26+[1]SADC!W26-[1]SADC!X26-X26,0)</f>
        <v>734427.77999999991</v>
      </c>
      <c r="Z26" s="182">
        <f>+IF(X26+[1]SADC!X26-[1]SADC!W26-W26&gt;0,X26+[1]SADC!X26-[1]SADC!W26-W26,0)</f>
        <v>0</v>
      </c>
      <c r="AA26" s="182">
        <f>+IF(Y26+[1]SADC!Y26-[1]SADC!Z26-Z26&gt;0,Y26+[1]SADC!Y26-[1]SADC!Z26-Z26,0)</f>
        <v>734427.77999999991</v>
      </c>
      <c r="AB26" s="182">
        <f>+IF(Z26+[1]SADC!Z26-[1]SADC!Y26-Y26&gt;0,Z26+[1]SADC!Z26-[1]SADC!Y26-Y26,0)</f>
        <v>0</v>
      </c>
      <c r="AC26" s="181"/>
      <c r="AD26" s="182">
        <f t="shared" si="0"/>
        <v>734427.77999999991</v>
      </c>
      <c r="AE26" s="182">
        <f t="shared" si="0"/>
        <v>0</v>
      </c>
      <c r="AF26" s="181"/>
    </row>
    <row r="27" spans="1:32">
      <c r="A27" s="181" t="str">
        <f>+VLOOKUP(B27,'[1]coa-mgb'!A$1:B$65536,2,0)</f>
        <v>Accountable Forms, Plates and Stickers Inventory</v>
      </c>
      <c r="B27" s="184" t="s">
        <v>28</v>
      </c>
      <c r="C27" s="182">
        <f>+SUMIFS('[1]10404020 00'!$F$1:$F$65536,'[1]10404020 00'!$D$1:$D$65536,"Beginning Balance",'[1]10404020 00'!$D$1:$D$65536,"Beginning Balance")</f>
        <v>198700</v>
      </c>
      <c r="D27" s="182">
        <f>+SUMIFS('[1]10404020 00'!$H$1:$H$65536,'[1]10404020 00'!$D$1:$D$65536,"Beginning Balance",'[1]10404020 00'!$D$1:$D$65536,"Beginning Balance")</f>
        <v>0</v>
      </c>
      <c r="E27" s="182">
        <f>+IF(C27+[1]SADC!C27-[1]SADC!D27-D27&gt;0,C27+[1]SADC!C27-[1]SADC!D27-D27,0)</f>
        <v>185942</v>
      </c>
      <c r="F27" s="182">
        <f>+IF(D27+[1]SADC!D27-[1]SADC!C27-C27&gt;0,D27+[1]SADC!D27-[1]SADC!C27-C27,0)</f>
        <v>0</v>
      </c>
      <c r="G27" s="182">
        <f>+IF(E27+[1]SADC!E27-[1]SADC!F27-F27&gt;0,E27+[1]SADC!E27-[1]SADC!F27-F27,0)</f>
        <v>170364</v>
      </c>
      <c r="H27" s="182">
        <f>+IF(F27+[1]SADC!F27-[1]SADC!E27-E27&gt;0,F27+[1]SADC!F27-[1]SADC!E27-E27,0)</f>
        <v>0</v>
      </c>
      <c r="I27" s="182">
        <f>+IF(G27+[1]SADC!G27-[1]SADC!H27-H27&gt;0,G27+[1]SADC!G27-[1]SADC!H27-H27,0)</f>
        <v>154098</v>
      </c>
      <c r="J27" s="182">
        <f>+IF(H27+[1]SADC!H27-[1]SADC!G27-G27&gt;0,H27+[1]SADC!H27-[1]SADC!G27-G27,0)</f>
        <v>0</v>
      </c>
      <c r="K27" s="182">
        <f>+IF(I27+[1]SADC!I27-[1]SADC!J27-J27&gt;0,I27+[1]SADC!I27-[1]SADC!J27-J27,0)</f>
        <v>154098</v>
      </c>
      <c r="L27" s="182">
        <f>+IF(J27+[1]SADC!J27-[1]SADC!I27-I27&gt;0,J27+[1]SADC!J27-[1]SADC!I27-I27,0)</f>
        <v>0</v>
      </c>
      <c r="M27" s="182">
        <f>+IF(K27+[1]SADC!K27-[1]SADC!L27-L27&gt;0,K27+[1]SADC!K27-[1]SADC!L27-L27,0)</f>
        <v>154098</v>
      </c>
      <c r="N27" s="182">
        <f>+IF(L27+[1]SADC!L27-[1]SADC!K27-K27&gt;0,L27+[1]SADC!L27-[1]SADC!K27-K27,0)</f>
        <v>0</v>
      </c>
      <c r="O27" s="182">
        <f>+IF(M27+[1]SADC!M27-[1]SADC!N27-N27&gt;0,M27+[1]SADC!M27-[1]SADC!N27-N27,0)</f>
        <v>154098</v>
      </c>
      <c r="P27" s="182">
        <f>+IF(N27+[1]SADC!N27-[1]SADC!M27-M27&gt;0,N27+[1]SADC!N27-[1]SADC!M27-M27,0)</f>
        <v>0</v>
      </c>
      <c r="Q27" s="182">
        <f>+IF(O27+[1]SADC!O27-[1]SADC!P27-P27&gt;0,O27+[1]SADC!O27-[1]SADC!P27-P27,0)</f>
        <v>154098</v>
      </c>
      <c r="R27" s="182">
        <f>+IF(P27+[1]SADC!P27-[1]SADC!O27-O27&gt;0,P27+[1]SADC!P27-[1]SADC!O27-O27,0)</f>
        <v>0</v>
      </c>
      <c r="S27" s="182">
        <f>+IF(Q27+[1]SADC!Q27-[1]SADC!R27-R27&gt;0,Q27+[1]SADC!Q27-[1]SADC!R27-R27,0)</f>
        <v>154098</v>
      </c>
      <c r="T27" s="182">
        <f>+IF(R27+[1]SADC!R27-[1]SADC!Q27-Q27&gt;0,R27+[1]SADC!R27-[1]SADC!Q27-Q27,0)</f>
        <v>0</v>
      </c>
      <c r="U27" s="182">
        <f>+IF(S27+[1]SADC!S27-[1]SADC!T27-T27&gt;0,S27+[1]SADC!S27-[1]SADC!T27-T27,0)</f>
        <v>154098</v>
      </c>
      <c r="V27" s="182">
        <f>+IF(T27+[1]SADC!T27-[1]SADC!S27-S27&gt;0,T27+[1]SADC!T27-[1]SADC!S27-S27,0)</f>
        <v>0</v>
      </c>
      <c r="W27" s="182">
        <f>+IF(U27+[1]SADC!U27-[1]SADC!V27-V27&gt;0,U27+[1]SADC!U27-[1]SADC!V27-V27,0)</f>
        <v>154098</v>
      </c>
      <c r="X27" s="182">
        <f>+IF(V27+[1]SADC!V27-[1]SADC!U27-U27&gt;0,V27+[1]SADC!V27-[1]SADC!U27-U27,0)</f>
        <v>0</v>
      </c>
      <c r="Y27" s="182">
        <f>+IF(W27+[1]SADC!W27-[1]SADC!X27-X27&gt;0,W27+[1]SADC!W27-[1]SADC!X27-X27,0)</f>
        <v>154098</v>
      </c>
      <c r="Z27" s="182">
        <f>+IF(X27+[1]SADC!X27-[1]SADC!W27-W27&gt;0,X27+[1]SADC!X27-[1]SADC!W27-W27,0)</f>
        <v>0</v>
      </c>
      <c r="AA27" s="182">
        <f>+IF(Y27+[1]SADC!Y27-[1]SADC!Z27-Z27&gt;0,Y27+[1]SADC!Y27-[1]SADC!Z27-Z27,0)</f>
        <v>154098</v>
      </c>
      <c r="AB27" s="182">
        <f>+IF(Z27+[1]SADC!Z27-[1]SADC!Y27-Y27&gt;0,Z27+[1]SADC!Z27-[1]SADC!Y27-Y27,0)</f>
        <v>0</v>
      </c>
      <c r="AC27" s="181"/>
      <c r="AD27" s="182">
        <f t="shared" si="0"/>
        <v>154098</v>
      </c>
      <c r="AE27" s="182">
        <f t="shared" si="0"/>
        <v>0</v>
      </c>
      <c r="AF27" s="181"/>
    </row>
    <row r="28" spans="1:32">
      <c r="A28" s="181" t="str">
        <f>+VLOOKUP(B28,'[1]coa-mgb'!A$1:B$65536,2,0)</f>
        <v>Medical, Dental &amp; Laboratory Supplies Inventory</v>
      </c>
      <c r="B28" s="184" t="s">
        <v>29</v>
      </c>
      <c r="C28" s="182">
        <f>+SUMIFS('[1]10404070 00'!$F$1:$F$65536,'[1]10404070 00'!$D$1:$D$65536,"Beginning Balance",'[1]10404070 00'!$D$1:$D$65536,"Beginning Balance")</f>
        <v>53600</v>
      </c>
      <c r="D28" s="182">
        <f>+SUMIFS('[1]10404070 00'!$H$1:$H$65536,'[1]10404070 00'!$D$1:$D$65536,"Beginning Balance",'[1]10404070 00'!$D$1:$D$65536,"Beginning Balance")</f>
        <v>0</v>
      </c>
      <c r="E28" s="182">
        <f>+IF(C28+[1]SADC!C28-[1]SADC!D28-D28&gt;0,C28+[1]SADC!C28-[1]SADC!D28-D28,0)</f>
        <v>53600</v>
      </c>
      <c r="F28" s="182">
        <f>+IF(D28+[1]SADC!D28-[1]SADC!C28-C28&gt;0,D28+[1]SADC!D28-[1]SADC!C28-C28,0)</f>
        <v>0</v>
      </c>
      <c r="G28" s="182">
        <f>+IF(E28+[1]SADC!E28-[1]SADC!F28-F28&gt;0,E28+[1]SADC!E28-[1]SADC!F28-F28,0)</f>
        <v>53600</v>
      </c>
      <c r="H28" s="182">
        <f>+IF(F28+[1]SADC!F28-[1]SADC!E28-E28&gt;0,F28+[1]SADC!F28-[1]SADC!E28-E28,0)</f>
        <v>0</v>
      </c>
      <c r="I28" s="182">
        <f>+IF(G28+[1]SADC!G28-[1]SADC!H28-H28&gt;0,G28+[1]SADC!G28-[1]SADC!H28-H28,0)</f>
        <v>60500</v>
      </c>
      <c r="J28" s="182">
        <f>+IF(H28+[1]SADC!H28-[1]SADC!G28-G28&gt;0,H28+[1]SADC!H28-[1]SADC!G28-G28,0)</f>
        <v>0</v>
      </c>
      <c r="K28" s="182">
        <f>+IF(I28+[1]SADC!I28-[1]SADC!J28-J28&gt;0,I28+[1]SADC!I28-[1]SADC!J28-J28,0)</f>
        <v>60500</v>
      </c>
      <c r="L28" s="182">
        <f>+IF(J28+[1]SADC!J28-[1]SADC!I28-I28&gt;0,J28+[1]SADC!J28-[1]SADC!I28-I28,0)</f>
        <v>0</v>
      </c>
      <c r="M28" s="182">
        <f>+IF(K28+[1]SADC!K28-[1]SADC!L28-L28&gt;0,K28+[1]SADC!K28-[1]SADC!L28-L28,0)</f>
        <v>60500</v>
      </c>
      <c r="N28" s="182">
        <f>+IF(L28+[1]SADC!L28-[1]SADC!K28-K28&gt;0,L28+[1]SADC!L28-[1]SADC!K28-K28,0)</f>
        <v>0</v>
      </c>
      <c r="O28" s="182">
        <f>+IF(M28+[1]SADC!M28-[1]SADC!N28-N28&gt;0,M28+[1]SADC!M28-[1]SADC!N28-N28,0)</f>
        <v>60500</v>
      </c>
      <c r="P28" s="182">
        <f>+IF(N28+[1]SADC!N28-[1]SADC!M28-M28&gt;0,N28+[1]SADC!N28-[1]SADC!M28-M28,0)</f>
        <v>0</v>
      </c>
      <c r="Q28" s="182">
        <f>+IF(O28+[1]SADC!O28-[1]SADC!P28-P28&gt;0,O28+[1]SADC!O28-[1]SADC!P28-P28,0)</f>
        <v>60500</v>
      </c>
      <c r="R28" s="182">
        <f>+IF(P28+[1]SADC!P28-[1]SADC!O28-O28&gt;0,P28+[1]SADC!P28-[1]SADC!O28-O28,0)</f>
        <v>0</v>
      </c>
      <c r="S28" s="182">
        <f>+IF(Q28+[1]SADC!Q28-[1]SADC!R28-R28&gt;0,Q28+[1]SADC!Q28-[1]SADC!R28-R28,0)</f>
        <v>60500</v>
      </c>
      <c r="T28" s="182">
        <f>+IF(R28+[1]SADC!R28-[1]SADC!Q28-Q28&gt;0,R28+[1]SADC!R28-[1]SADC!Q28-Q28,0)</f>
        <v>0</v>
      </c>
      <c r="U28" s="182">
        <f>+IF(S28+[1]SADC!S28-[1]SADC!T28-T28&gt;0,S28+[1]SADC!S28-[1]SADC!T28-T28,0)</f>
        <v>60500</v>
      </c>
      <c r="V28" s="182">
        <f>+IF(T28+[1]SADC!T28-[1]SADC!S28-S28&gt;0,T28+[1]SADC!T28-[1]SADC!S28-S28,0)</f>
        <v>0</v>
      </c>
      <c r="W28" s="182">
        <f>+IF(U28+[1]SADC!U28-[1]SADC!V28-V28&gt;0,U28+[1]SADC!U28-[1]SADC!V28-V28,0)</f>
        <v>60500</v>
      </c>
      <c r="X28" s="182">
        <f>+IF(V28+[1]SADC!V28-[1]SADC!U28-U28&gt;0,V28+[1]SADC!V28-[1]SADC!U28-U28,0)</f>
        <v>0</v>
      </c>
      <c r="Y28" s="182">
        <f>+IF(W28+[1]SADC!W28-[1]SADC!X28-X28&gt;0,W28+[1]SADC!W28-[1]SADC!X28-X28,0)</f>
        <v>60500</v>
      </c>
      <c r="Z28" s="182">
        <f>+IF(X28+[1]SADC!X28-[1]SADC!W28-W28&gt;0,X28+[1]SADC!X28-[1]SADC!W28-W28,0)</f>
        <v>0</v>
      </c>
      <c r="AA28" s="182">
        <f>+IF(Y28+[1]SADC!Y28-[1]SADC!Z28-Z28&gt;0,Y28+[1]SADC!Y28-[1]SADC!Z28-Z28,0)</f>
        <v>60500</v>
      </c>
      <c r="AB28" s="182">
        <f>+IF(Z28+[1]SADC!Z28-[1]SADC!Y28-Y28&gt;0,Z28+[1]SADC!Z28-[1]SADC!Y28-Y28,0)</f>
        <v>0</v>
      </c>
      <c r="AC28" s="181"/>
      <c r="AD28" s="182">
        <f t="shared" si="0"/>
        <v>60500</v>
      </c>
      <c r="AE28" s="182">
        <f t="shared" si="0"/>
        <v>0</v>
      </c>
      <c r="AF28" s="181"/>
    </row>
    <row r="29" spans="1:32">
      <c r="A29" s="181" t="str">
        <f>+VLOOKUP(B29,'[1]coa-mgb'!A$1:B$65536,2,0)</f>
        <v>Other Supplies and Materials Inventory</v>
      </c>
      <c r="B29" s="184" t="s">
        <v>31</v>
      </c>
      <c r="C29" s="182">
        <f>+SUMIFS('[1]10404990 00'!$F$1:$F$65536,'[1]10404990 00'!$D$1:$D$65536,"Beginning Balance",'[1]10404990 00'!$D$1:$D$65536,"Beginning Balance")</f>
        <v>224143.34000000003</v>
      </c>
      <c r="D29" s="182">
        <f>+SUMIFS('[1]10404990 00'!$H$1:$H$65536,'[1]10404990 00'!$D$1:$D$65536,"Beginning Balance",'[1]10404990 00'!$D$1:$D$65536,"Beginning Balance")</f>
        <v>0</v>
      </c>
      <c r="E29" s="182">
        <f>+IF(C29+[1]SADC!C29-[1]SADC!D29-D29&gt;0,C29+[1]SADC!C29-[1]SADC!D29-D29,0)</f>
        <v>224143.34000000003</v>
      </c>
      <c r="F29" s="182">
        <f>+IF(D29+[1]SADC!D29-[1]SADC!C29-C29&gt;0,D29+[1]SADC!D29-[1]SADC!C29-C29,0)</f>
        <v>0</v>
      </c>
      <c r="G29" s="182">
        <f>+IF(E29+[1]SADC!E29-[1]SADC!F29-F29&gt;0,E29+[1]SADC!E29-[1]SADC!F29-F29,0)</f>
        <v>222705.34000000003</v>
      </c>
      <c r="H29" s="182">
        <f>+IF(F29+[1]SADC!F29-[1]SADC!E29-E29&gt;0,F29+[1]SADC!F29-[1]SADC!E29-E29,0)</f>
        <v>0</v>
      </c>
      <c r="I29" s="182">
        <f>+IF(G29+[1]SADC!G29-[1]SADC!H29-H29&gt;0,G29+[1]SADC!G29-[1]SADC!H29-H29,0)</f>
        <v>221806.59000000003</v>
      </c>
      <c r="J29" s="182">
        <f>+IF(H29+[1]SADC!H29-[1]SADC!G29-G29&gt;0,H29+[1]SADC!H29-[1]SADC!G29-G29,0)</f>
        <v>0</v>
      </c>
      <c r="K29" s="182">
        <f>+IF(I29+[1]SADC!I29-[1]SADC!J29-J29&gt;0,I29+[1]SADC!I29-[1]SADC!J29-J29,0)</f>
        <v>221806.59000000003</v>
      </c>
      <c r="L29" s="182">
        <f>+IF(J29+[1]SADC!J29-[1]SADC!I29-I29&gt;0,J29+[1]SADC!J29-[1]SADC!I29-I29,0)</f>
        <v>0</v>
      </c>
      <c r="M29" s="182">
        <f>+IF(K29+[1]SADC!K29-[1]SADC!L29-L29&gt;0,K29+[1]SADC!K29-[1]SADC!L29-L29,0)</f>
        <v>221806.59000000003</v>
      </c>
      <c r="N29" s="182">
        <f>+IF(L29+[1]SADC!L29-[1]SADC!K29-K29&gt;0,L29+[1]SADC!L29-[1]SADC!K29-K29,0)</f>
        <v>0</v>
      </c>
      <c r="O29" s="182">
        <f>+IF(M29+[1]SADC!M29-[1]SADC!N29-N29&gt;0,M29+[1]SADC!M29-[1]SADC!N29-N29,0)</f>
        <v>221806.59000000003</v>
      </c>
      <c r="P29" s="182">
        <f>+IF(N29+[1]SADC!N29-[1]SADC!M29-M29&gt;0,N29+[1]SADC!N29-[1]SADC!M29-M29,0)</f>
        <v>0</v>
      </c>
      <c r="Q29" s="182">
        <f>+IF(O29+[1]SADC!O29-[1]SADC!P29-P29&gt;0,O29+[1]SADC!O29-[1]SADC!P29-P29,0)</f>
        <v>221806.59000000003</v>
      </c>
      <c r="R29" s="182">
        <f>+IF(P29+[1]SADC!P29-[1]SADC!O29-O29&gt;0,P29+[1]SADC!P29-[1]SADC!O29-O29,0)</f>
        <v>0</v>
      </c>
      <c r="S29" s="182">
        <f>+IF(Q29+[1]SADC!Q29-[1]SADC!R29-R29&gt;0,Q29+[1]SADC!Q29-[1]SADC!R29-R29,0)</f>
        <v>221806.59000000003</v>
      </c>
      <c r="T29" s="182">
        <f>+IF(R29+[1]SADC!R29-[1]SADC!Q29-Q29&gt;0,R29+[1]SADC!R29-[1]SADC!Q29-Q29,0)</f>
        <v>0</v>
      </c>
      <c r="U29" s="182">
        <f>+IF(S29+[1]SADC!S29-[1]SADC!T29-T29&gt;0,S29+[1]SADC!S29-[1]SADC!T29-T29,0)</f>
        <v>221806.59000000003</v>
      </c>
      <c r="V29" s="182">
        <f>+IF(T29+[1]SADC!T29-[1]SADC!S29-S29&gt;0,T29+[1]SADC!T29-[1]SADC!S29-S29,0)</f>
        <v>0</v>
      </c>
      <c r="W29" s="182">
        <f>+IF(U29+[1]SADC!U29-[1]SADC!V29-V29&gt;0,U29+[1]SADC!U29-[1]SADC!V29-V29,0)</f>
        <v>221806.59000000003</v>
      </c>
      <c r="X29" s="182">
        <f>+IF(V29+[1]SADC!V29-[1]SADC!U29-U29&gt;0,V29+[1]SADC!V29-[1]SADC!U29-U29,0)</f>
        <v>0</v>
      </c>
      <c r="Y29" s="182">
        <f>+IF(W29+[1]SADC!W29-[1]SADC!X29-X29&gt;0,W29+[1]SADC!W29-[1]SADC!X29-X29,0)</f>
        <v>221806.59000000003</v>
      </c>
      <c r="Z29" s="182">
        <f>+IF(X29+[1]SADC!X29-[1]SADC!W29-W29&gt;0,X29+[1]SADC!X29-[1]SADC!W29-W29,0)</f>
        <v>0</v>
      </c>
      <c r="AA29" s="182">
        <f>+IF(Y29+[1]SADC!Y29-[1]SADC!Z29-Z29&gt;0,Y29+[1]SADC!Y29-[1]SADC!Z29-Z29,0)</f>
        <v>221806.59000000003</v>
      </c>
      <c r="AB29" s="182">
        <f>+IF(Z29+[1]SADC!Z29-[1]SADC!Y29-Y29&gt;0,Z29+[1]SADC!Z29-[1]SADC!Y29-Y29,0)</f>
        <v>0</v>
      </c>
      <c r="AC29" s="181"/>
      <c r="AD29" s="182">
        <f t="shared" si="0"/>
        <v>221806.59000000003</v>
      </c>
      <c r="AE29" s="182">
        <f t="shared" si="0"/>
        <v>0</v>
      </c>
      <c r="AF29" s="181"/>
    </row>
    <row r="30" spans="1:32">
      <c r="A30" s="181" t="str">
        <f>+VLOOKUP(B30,'[1]coa-mgb'!A$1:B$65536,2,0)</f>
        <v>Land</v>
      </c>
      <c r="B30" s="184" t="s">
        <v>32</v>
      </c>
      <c r="C30" s="182">
        <f>+SUMIFS('[1]10601010 00'!$F$1:$F$65536,'[1]10601010 00'!$D$1:$D$65536,"Beginning Balance",'[1]10601010 00'!$D$1:$D$65536,"Beginning Balance")</f>
        <v>551250</v>
      </c>
      <c r="D30" s="182">
        <f>+SUMIFS('[1]10601010 00'!$H$1:$H$65536,'[1]10601010 00'!$D$1:$D$65536,"Beginning Balance",'[1]10601010 00'!$D$1:$D$65536,"Beginning Balance")</f>
        <v>0</v>
      </c>
      <c r="E30" s="182">
        <f>+IF(C30+[1]SADC!C30-[1]SADC!D30-D30&gt;0,C30+[1]SADC!C30-[1]SADC!D30-D30,0)</f>
        <v>551250</v>
      </c>
      <c r="F30" s="182">
        <f>+IF(D30+[1]SADC!D30-[1]SADC!C30-C30&gt;0,D30+[1]SADC!D30-[1]SADC!C30-C30,0)</f>
        <v>0</v>
      </c>
      <c r="G30" s="182">
        <f>+IF(E30+[1]SADC!E30-[1]SADC!F30-F30&gt;0,E30+[1]SADC!E30-[1]SADC!F30-F30,0)</f>
        <v>551250</v>
      </c>
      <c r="H30" s="182">
        <f>+IF(F30+[1]SADC!F30-[1]SADC!E30-E30&gt;0,F30+[1]SADC!F30-[1]SADC!E30-E30,0)</f>
        <v>0</v>
      </c>
      <c r="I30" s="182">
        <f>+IF(G30+[1]SADC!G30-[1]SADC!H30-H30&gt;0,G30+[1]SADC!G30-[1]SADC!H30-H30,0)</f>
        <v>551250</v>
      </c>
      <c r="J30" s="182">
        <f>+IF(H30+[1]SADC!H30-[1]SADC!G30-G30&gt;0,H30+[1]SADC!H30-[1]SADC!G30-G30,0)</f>
        <v>0</v>
      </c>
      <c r="K30" s="182">
        <f>+IF(I30+[1]SADC!I30-[1]SADC!J30-J30&gt;0,I30+[1]SADC!I30-[1]SADC!J30-J30,0)</f>
        <v>551250</v>
      </c>
      <c r="L30" s="182">
        <f>+IF(J30+[1]SADC!J30-[1]SADC!I30-I30&gt;0,J30+[1]SADC!J30-[1]SADC!I30-I30,0)</f>
        <v>0</v>
      </c>
      <c r="M30" s="182">
        <f>+IF(K30+[1]SADC!K30-[1]SADC!L30-L30&gt;0,K30+[1]SADC!K30-[1]SADC!L30-L30,0)</f>
        <v>551250</v>
      </c>
      <c r="N30" s="182">
        <f>+IF(L30+[1]SADC!L30-[1]SADC!K30-K30&gt;0,L30+[1]SADC!L30-[1]SADC!K30-K30,0)</f>
        <v>0</v>
      </c>
      <c r="O30" s="182">
        <f>+IF(M30+[1]SADC!M30-[1]SADC!N30-N30&gt;0,M30+[1]SADC!M30-[1]SADC!N30-N30,0)</f>
        <v>551250</v>
      </c>
      <c r="P30" s="182">
        <f>+IF(N30+[1]SADC!N30-[1]SADC!M30-M30&gt;0,N30+[1]SADC!N30-[1]SADC!M30-M30,0)</f>
        <v>0</v>
      </c>
      <c r="Q30" s="182">
        <f>+IF(O30+[1]SADC!O30-[1]SADC!P30-P30&gt;0,O30+[1]SADC!O30-[1]SADC!P30-P30,0)</f>
        <v>551250</v>
      </c>
      <c r="R30" s="182">
        <f>+IF(P30+[1]SADC!P30-[1]SADC!O30-O30&gt;0,P30+[1]SADC!P30-[1]SADC!O30-O30,0)</f>
        <v>0</v>
      </c>
      <c r="S30" s="182">
        <f>+IF(Q30+[1]SADC!Q30-[1]SADC!R30-R30&gt;0,Q30+[1]SADC!Q30-[1]SADC!R30-R30,0)</f>
        <v>551250</v>
      </c>
      <c r="T30" s="182">
        <f>+IF(R30+[1]SADC!R30-[1]SADC!Q30-Q30&gt;0,R30+[1]SADC!R30-[1]SADC!Q30-Q30,0)</f>
        <v>0</v>
      </c>
      <c r="U30" s="182">
        <f>+IF(S30+[1]SADC!S30-[1]SADC!T30-T30&gt;0,S30+[1]SADC!S30-[1]SADC!T30-T30,0)</f>
        <v>551250</v>
      </c>
      <c r="V30" s="182">
        <f>+IF(T30+[1]SADC!T30-[1]SADC!S30-S30&gt;0,T30+[1]SADC!T30-[1]SADC!S30-S30,0)</f>
        <v>0</v>
      </c>
      <c r="W30" s="182">
        <f>+IF(U30+[1]SADC!U30-[1]SADC!V30-V30&gt;0,U30+[1]SADC!U30-[1]SADC!V30-V30,0)</f>
        <v>551250</v>
      </c>
      <c r="X30" s="182">
        <f>+IF(V30+[1]SADC!V30-[1]SADC!U30-U30&gt;0,V30+[1]SADC!V30-[1]SADC!U30-U30,0)</f>
        <v>0</v>
      </c>
      <c r="Y30" s="182">
        <f>+IF(W30+[1]SADC!W30-[1]SADC!X30-X30&gt;0,W30+[1]SADC!W30-[1]SADC!X30-X30,0)</f>
        <v>551250</v>
      </c>
      <c r="Z30" s="182">
        <f>+IF(X30+[1]SADC!X30-[1]SADC!W30-W30&gt;0,X30+[1]SADC!X30-[1]SADC!W30-W30,0)</f>
        <v>0</v>
      </c>
      <c r="AA30" s="182">
        <f>+IF(Y30+[1]SADC!Y30-[1]SADC!Z30-Z30&gt;0,Y30+[1]SADC!Y30-[1]SADC!Z30-Z30,0)</f>
        <v>551250</v>
      </c>
      <c r="AB30" s="182">
        <f>+IF(Z30+[1]SADC!Z30-[1]SADC!Y30-Y30&gt;0,Z30+[1]SADC!Z30-[1]SADC!Y30-Y30,0)</f>
        <v>0</v>
      </c>
      <c r="AC30" s="181"/>
      <c r="AD30" s="182">
        <f t="shared" si="0"/>
        <v>551250</v>
      </c>
      <c r="AE30" s="182">
        <f t="shared" si="0"/>
        <v>0</v>
      </c>
      <c r="AF30" s="181"/>
    </row>
    <row r="31" spans="1:32">
      <c r="A31" s="181" t="str">
        <f>+VLOOKUP(B31,'[1]coa-mgb'!A$1:B$65536,2,0)</f>
        <v>Other Land Improvements</v>
      </c>
      <c r="B31" s="184" t="s">
        <v>33</v>
      </c>
      <c r="C31" s="182">
        <f>+SUMIFS('[1]10602990 00'!$F$1:$F$65536,'[1]10602990 00'!$D$1:$D$65536,"Beginning Balance",'[1]10602990 00'!$D$1:$D$65536,"Beginning Balance")</f>
        <v>525000</v>
      </c>
      <c r="D31" s="182">
        <f>+SUMIFS('[1]10602990 00'!$H$1:$H$65536,'[1]10602990 00'!$D$1:$D$65536,"Beginning Balance",'[1]10602990 00'!$D$1:$D$65536,"Beginning Balance")</f>
        <v>0</v>
      </c>
      <c r="E31" s="182">
        <f>+IF(C31+[1]SADC!C31-[1]SADC!D31-D31&gt;0,C31+[1]SADC!C31-[1]SADC!D31-D31,0)</f>
        <v>525000</v>
      </c>
      <c r="F31" s="182">
        <f>+IF(D31+[1]SADC!D31-[1]SADC!C31-C31&gt;0,D31+[1]SADC!D31-[1]SADC!C31-C31,0)</f>
        <v>0</v>
      </c>
      <c r="G31" s="182">
        <f>+IF(E31+[1]SADC!E31-[1]SADC!F31-F31&gt;0,E31+[1]SADC!E31-[1]SADC!F31-F31,0)</f>
        <v>525000</v>
      </c>
      <c r="H31" s="182">
        <f>+IF(F31+[1]SADC!F31-[1]SADC!E31-E31&gt;0,F31+[1]SADC!F31-[1]SADC!E31-E31,0)</f>
        <v>0</v>
      </c>
      <c r="I31" s="182">
        <f>+IF(G31+[1]SADC!G31-[1]SADC!H31-H31&gt;0,G31+[1]SADC!G31-[1]SADC!H31-H31,0)</f>
        <v>525000</v>
      </c>
      <c r="J31" s="182">
        <f>+IF(H31+[1]SADC!H31-[1]SADC!G31-G31&gt;0,H31+[1]SADC!H31-[1]SADC!G31-G31,0)</f>
        <v>0</v>
      </c>
      <c r="K31" s="182">
        <f>+IF(I31+[1]SADC!I31-[1]SADC!J31-J31&gt;0,I31+[1]SADC!I31-[1]SADC!J31-J31,0)</f>
        <v>525000</v>
      </c>
      <c r="L31" s="182">
        <f>+IF(J31+[1]SADC!J31-[1]SADC!I31-I31&gt;0,J31+[1]SADC!J31-[1]SADC!I31-I31,0)</f>
        <v>0</v>
      </c>
      <c r="M31" s="182">
        <f>+IF(K31+[1]SADC!K31-[1]SADC!L31-L31&gt;0,K31+[1]SADC!K31-[1]SADC!L31-L31,0)</f>
        <v>525000</v>
      </c>
      <c r="N31" s="182">
        <f>+IF(L31+[1]SADC!L31-[1]SADC!K31-K31&gt;0,L31+[1]SADC!L31-[1]SADC!K31-K31,0)</f>
        <v>0</v>
      </c>
      <c r="O31" s="182">
        <f>+IF(M31+[1]SADC!M31-[1]SADC!N31-N31&gt;0,M31+[1]SADC!M31-[1]SADC!N31-N31,0)</f>
        <v>525000</v>
      </c>
      <c r="P31" s="182">
        <f>+IF(N31+[1]SADC!N31-[1]SADC!M31-M31&gt;0,N31+[1]SADC!N31-[1]SADC!M31-M31,0)</f>
        <v>0</v>
      </c>
      <c r="Q31" s="182">
        <f>+IF(O31+[1]SADC!O31-[1]SADC!P31-P31&gt;0,O31+[1]SADC!O31-[1]SADC!P31-P31,0)</f>
        <v>525000</v>
      </c>
      <c r="R31" s="182">
        <f>+IF(P31+[1]SADC!P31-[1]SADC!O31-O31&gt;0,P31+[1]SADC!P31-[1]SADC!O31-O31,0)</f>
        <v>0</v>
      </c>
      <c r="S31" s="182">
        <f>+IF(Q31+[1]SADC!Q31-[1]SADC!R31-R31&gt;0,Q31+[1]SADC!Q31-[1]SADC!R31-R31,0)</f>
        <v>525000</v>
      </c>
      <c r="T31" s="182">
        <f>+IF(R31+[1]SADC!R31-[1]SADC!Q31-Q31&gt;0,R31+[1]SADC!R31-[1]SADC!Q31-Q31,0)</f>
        <v>0</v>
      </c>
      <c r="U31" s="182">
        <f>+IF(S31+[1]SADC!S31-[1]SADC!T31-T31&gt;0,S31+[1]SADC!S31-[1]SADC!T31-T31,0)</f>
        <v>525000</v>
      </c>
      <c r="V31" s="182">
        <f>+IF(T31+[1]SADC!T31-[1]SADC!S31-S31&gt;0,T31+[1]SADC!T31-[1]SADC!S31-S31,0)</f>
        <v>0</v>
      </c>
      <c r="W31" s="182">
        <f>+IF(U31+[1]SADC!U31-[1]SADC!V31-V31&gt;0,U31+[1]SADC!U31-[1]SADC!V31-V31,0)</f>
        <v>525000</v>
      </c>
      <c r="X31" s="182">
        <f>+IF(V31+[1]SADC!V31-[1]SADC!U31-U31&gt;0,V31+[1]SADC!V31-[1]SADC!U31-U31,0)</f>
        <v>0</v>
      </c>
      <c r="Y31" s="182">
        <f>+IF(W31+[1]SADC!W31-[1]SADC!X31-X31&gt;0,W31+[1]SADC!W31-[1]SADC!X31-X31,0)</f>
        <v>525000</v>
      </c>
      <c r="Z31" s="182">
        <f>+IF(X31+[1]SADC!X31-[1]SADC!W31-W31&gt;0,X31+[1]SADC!X31-[1]SADC!W31-W31,0)</f>
        <v>0</v>
      </c>
      <c r="AA31" s="182">
        <f>+IF(Y31+[1]SADC!Y31-[1]SADC!Z31-Z31&gt;0,Y31+[1]SADC!Y31-[1]SADC!Z31-Z31,0)</f>
        <v>525000</v>
      </c>
      <c r="AB31" s="182">
        <f>+IF(Z31+[1]SADC!Z31-[1]SADC!Y31-Y31&gt;0,Z31+[1]SADC!Z31-[1]SADC!Y31-Y31,0)</f>
        <v>0</v>
      </c>
      <c r="AC31" s="181"/>
      <c r="AD31" s="182">
        <f t="shared" si="0"/>
        <v>525000</v>
      </c>
      <c r="AE31" s="182">
        <f t="shared" si="0"/>
        <v>0</v>
      </c>
      <c r="AF31" s="181"/>
    </row>
    <row r="32" spans="1:32">
      <c r="A32" s="181" t="str">
        <f>+VLOOKUP(B32,'[1]coa-mgb'!A$1:B$65536,2,0)</f>
        <v>Accumulated Depreciation - Other Land Improvements</v>
      </c>
      <c r="B32" s="184" t="s">
        <v>34</v>
      </c>
      <c r="C32" s="182">
        <f>+SUMIFS('[1]10602991 00'!$F$1:$F$65536,'[1]10602991 00'!$D$1:$D$65536,"Beginning Balance",'[1]10602991 00'!$D$1:$D$65536,"Beginning Balance")</f>
        <v>0</v>
      </c>
      <c r="D32" s="182">
        <f>+SUMIFS('[1]10602991 00'!$H$1:$H$65536,'[1]10602991 00'!$D$1:$D$65536,"Beginning Balance",'[1]10602991 00'!$D$1:$D$65536,"Beginning Balance")</f>
        <v>468562.5</v>
      </c>
      <c r="E32" s="182">
        <f>+IF(C32+[1]SADC!C32-[1]SADC!D32-D32&gt;0,C32+[1]SADC!C32-[1]SADC!D32-D32,0)</f>
        <v>0</v>
      </c>
      <c r="F32" s="182">
        <f>+IF(D32+[1]SADC!D32-[1]SADC!C32-C32&gt;0,D32+[1]SADC!D32-[1]SADC!C32-C32,0)</f>
        <v>468759.38</v>
      </c>
      <c r="G32" s="182">
        <f>+IF(E32+[1]SADC!E32-[1]SADC!F32-F32&gt;0,E32+[1]SADC!E32-[1]SADC!F32-F32,0)</f>
        <v>0</v>
      </c>
      <c r="H32" s="182">
        <f>+IF(F32+[1]SADC!F32-[1]SADC!E32-E32&gt;0,F32+[1]SADC!F32-[1]SADC!E32-E32,0)</f>
        <v>468956.25</v>
      </c>
      <c r="I32" s="182">
        <f>+IF(G32+[1]SADC!G32-[1]SADC!H32-H32&gt;0,G32+[1]SADC!G32-[1]SADC!H32-H32,0)</f>
        <v>0</v>
      </c>
      <c r="J32" s="182">
        <f>+IF(H32+[1]SADC!H32-[1]SADC!G32-G32&gt;0,H32+[1]SADC!H32-[1]SADC!G32-G32,0)</f>
        <v>469153.13</v>
      </c>
      <c r="K32" s="182">
        <f>+IF(I32+[1]SADC!I32-[1]SADC!J32-J32&gt;0,I32+[1]SADC!I32-[1]SADC!J32-J32,0)</f>
        <v>0</v>
      </c>
      <c r="L32" s="182">
        <f>+IF(J32+[1]SADC!J32-[1]SADC!I32-I32&gt;0,J32+[1]SADC!J32-[1]SADC!I32-I32,0)</f>
        <v>469153.13</v>
      </c>
      <c r="M32" s="182">
        <f>+IF(K32+[1]SADC!K32-[1]SADC!L32-L32&gt;0,K32+[1]SADC!K32-[1]SADC!L32-L32,0)</f>
        <v>0</v>
      </c>
      <c r="N32" s="182">
        <f>+IF(L32+[1]SADC!L32-[1]SADC!K32-K32&gt;0,L32+[1]SADC!L32-[1]SADC!K32-K32,0)</f>
        <v>469153.13</v>
      </c>
      <c r="O32" s="182">
        <f>+IF(M32+[1]SADC!M32-[1]SADC!N32-N32&gt;0,M32+[1]SADC!M32-[1]SADC!N32-N32,0)</f>
        <v>0</v>
      </c>
      <c r="P32" s="182">
        <f>+IF(N32+[1]SADC!N32-[1]SADC!M32-M32&gt;0,N32+[1]SADC!N32-[1]SADC!M32-M32,0)</f>
        <v>469153.13</v>
      </c>
      <c r="Q32" s="182">
        <f>+IF(O32+[1]SADC!O32-[1]SADC!P32-P32&gt;0,O32+[1]SADC!O32-[1]SADC!P32-P32,0)</f>
        <v>0</v>
      </c>
      <c r="R32" s="182">
        <f>+IF(P32+[1]SADC!P32-[1]SADC!O32-O32&gt;0,P32+[1]SADC!P32-[1]SADC!O32-O32,0)</f>
        <v>469153.13</v>
      </c>
      <c r="S32" s="182">
        <f>+IF(Q32+[1]SADC!Q32-[1]SADC!R32-R32&gt;0,Q32+[1]SADC!Q32-[1]SADC!R32-R32,0)</f>
        <v>0</v>
      </c>
      <c r="T32" s="182">
        <f>+IF(R32+[1]SADC!R32-[1]SADC!Q32-Q32&gt;0,R32+[1]SADC!R32-[1]SADC!Q32-Q32,0)</f>
        <v>469153.13</v>
      </c>
      <c r="U32" s="182">
        <f>+IF(S32+[1]SADC!S32-[1]SADC!T32-T32&gt;0,S32+[1]SADC!S32-[1]SADC!T32-T32,0)</f>
        <v>0</v>
      </c>
      <c r="V32" s="182">
        <f>+IF(T32+[1]SADC!T32-[1]SADC!S32-S32&gt;0,T32+[1]SADC!T32-[1]SADC!S32-S32,0)</f>
        <v>469153.13</v>
      </c>
      <c r="W32" s="182">
        <f>+IF(U32+[1]SADC!U32-[1]SADC!V32-V32&gt;0,U32+[1]SADC!U32-[1]SADC!V32-V32,0)</f>
        <v>0</v>
      </c>
      <c r="X32" s="182">
        <f>+IF(V32+[1]SADC!V32-[1]SADC!U32-U32&gt;0,V32+[1]SADC!V32-[1]SADC!U32-U32,0)</f>
        <v>469153.13</v>
      </c>
      <c r="Y32" s="182">
        <f>+IF(W32+[1]SADC!W32-[1]SADC!X32-X32&gt;0,W32+[1]SADC!W32-[1]SADC!X32-X32,0)</f>
        <v>0</v>
      </c>
      <c r="Z32" s="182">
        <f>+IF(X32+[1]SADC!X32-[1]SADC!W32-W32&gt;0,X32+[1]SADC!X32-[1]SADC!W32-W32,0)</f>
        <v>469153.13</v>
      </c>
      <c r="AA32" s="182">
        <f>+IF(Y32+[1]SADC!Y32-[1]SADC!Z32-Z32&gt;0,Y32+[1]SADC!Y32-[1]SADC!Z32-Z32,0)</f>
        <v>0</v>
      </c>
      <c r="AB32" s="182">
        <f>+IF(Z32+[1]SADC!Z32-[1]SADC!Y32-Y32&gt;0,Z32+[1]SADC!Z32-[1]SADC!Y32-Y32,0)</f>
        <v>469153.13</v>
      </c>
      <c r="AC32" s="181"/>
      <c r="AD32" s="182">
        <f t="shared" si="0"/>
        <v>0</v>
      </c>
      <c r="AE32" s="182">
        <f t="shared" si="0"/>
        <v>469153.13</v>
      </c>
      <c r="AF32" s="181"/>
    </row>
    <row r="33" spans="1:32">
      <c r="A33" s="181" t="str">
        <f>+VLOOKUP(B33,'[1]coa-mgb'!A$1:B$65536,2,0)</f>
        <v>Power Supply Systems</v>
      </c>
      <c r="B33" s="184" t="s">
        <v>35</v>
      </c>
      <c r="C33" s="182">
        <f>+SUMIFS('[1]10603050 00'!$F$1:$F$65536,'[1]10603050 00'!$D$1:$D$65536,"Beginning Balance",'[1]10603050 00'!$D$1:$D$65536,"Beginning Balance")</f>
        <v>0</v>
      </c>
      <c r="D33" s="182">
        <f>+SUMIFS('[1]10603050 00'!$H$1:$H$65536,'[1]10603050 00'!$D$1:$D$65536,"Beginning Balance",'[1]10603050 00'!$D$1:$D$65536,"Beginning Balance")</f>
        <v>0</v>
      </c>
      <c r="E33" s="182">
        <f>+IF(C33+[1]SADC!C33-[1]SADC!D33-D33&gt;0,C33+[1]SADC!C33-[1]SADC!D33-D33,0)</f>
        <v>0</v>
      </c>
      <c r="F33" s="182">
        <f>+IF(D33+[1]SADC!D33-[1]SADC!C33-C33&gt;0,D33+[1]SADC!D33-[1]SADC!C33-C33,0)</f>
        <v>0</v>
      </c>
      <c r="G33" s="182">
        <f>+IF(E33+[1]SADC!E33-[1]SADC!F33-F33&gt;0,E33+[1]SADC!E33-[1]SADC!F33-F33,0)</f>
        <v>0</v>
      </c>
      <c r="H33" s="182">
        <f>+IF(F33+[1]SADC!F33-[1]SADC!E33-E33&gt;0,F33+[1]SADC!F33-[1]SADC!E33-E33,0)</f>
        <v>0</v>
      </c>
      <c r="I33" s="182">
        <f>+IF(G33+[1]SADC!G33-[1]SADC!H33-H33&gt;0,G33+[1]SADC!G33-[1]SADC!H33-H33,0)</f>
        <v>0</v>
      </c>
      <c r="J33" s="182">
        <f>+IF(H33+[1]SADC!H33-[1]SADC!G33-G33&gt;0,H33+[1]SADC!H33-[1]SADC!G33-G33,0)</f>
        <v>0</v>
      </c>
      <c r="K33" s="182">
        <f>+IF(I33+[1]SADC!I33-[1]SADC!J33-J33&gt;0,I33+[1]SADC!I33-[1]SADC!J33-J33,0)</f>
        <v>0</v>
      </c>
      <c r="L33" s="182">
        <f>+IF(J33+[1]SADC!J33-[1]SADC!I33-I33&gt;0,J33+[1]SADC!J33-[1]SADC!I33-I33,0)</f>
        <v>0</v>
      </c>
      <c r="M33" s="182">
        <f>+IF(K33+[1]SADC!K33-[1]SADC!L33-L33&gt;0,K33+[1]SADC!K33-[1]SADC!L33-L33,0)</f>
        <v>0</v>
      </c>
      <c r="N33" s="182">
        <f>+IF(L33+[1]SADC!L33-[1]SADC!K33-K33&gt;0,L33+[1]SADC!L33-[1]SADC!K33-K33,0)</f>
        <v>0</v>
      </c>
      <c r="O33" s="182">
        <f>+IF(M33+[1]SADC!M33-[1]SADC!N33-N33&gt;0,M33+[1]SADC!M33-[1]SADC!N33-N33,0)</f>
        <v>0</v>
      </c>
      <c r="P33" s="182">
        <f>+IF(N33+[1]SADC!N33-[1]SADC!M33-M33&gt;0,N33+[1]SADC!N33-[1]SADC!M33-M33,0)</f>
        <v>0</v>
      </c>
      <c r="Q33" s="182">
        <f>+IF(O33+[1]SADC!O33-[1]SADC!P33-P33&gt;0,O33+[1]SADC!O33-[1]SADC!P33-P33,0)</f>
        <v>0</v>
      </c>
      <c r="R33" s="182">
        <f>+IF(P33+[1]SADC!P33-[1]SADC!O33-O33&gt;0,P33+[1]SADC!P33-[1]SADC!O33-O33,0)</f>
        <v>0</v>
      </c>
      <c r="S33" s="182">
        <f>+IF(Q33+[1]SADC!Q33-[1]SADC!R33-R33&gt;0,Q33+[1]SADC!Q33-[1]SADC!R33-R33,0)</f>
        <v>0</v>
      </c>
      <c r="T33" s="182">
        <f>+IF(R33+[1]SADC!R33-[1]SADC!Q33-Q33&gt;0,R33+[1]SADC!R33-[1]SADC!Q33-Q33,0)</f>
        <v>0</v>
      </c>
      <c r="U33" s="182">
        <f>+IF(S33+[1]SADC!S33-[1]SADC!T33-T33&gt;0,S33+[1]SADC!S33-[1]SADC!T33-T33,0)</f>
        <v>0</v>
      </c>
      <c r="V33" s="182">
        <f>+IF(T33+[1]SADC!T33-[1]SADC!S33-S33&gt;0,T33+[1]SADC!T33-[1]SADC!S33-S33,0)</f>
        <v>0</v>
      </c>
      <c r="W33" s="182">
        <f>+IF(U33+[1]SADC!U33-[1]SADC!V33-V33&gt;0,U33+[1]SADC!U33-[1]SADC!V33-V33,0)</f>
        <v>0</v>
      </c>
      <c r="X33" s="182">
        <f>+IF(V33+[1]SADC!V33-[1]SADC!U33-U33&gt;0,V33+[1]SADC!V33-[1]SADC!U33-U33,0)</f>
        <v>0</v>
      </c>
      <c r="Y33" s="182">
        <f>+IF(W33+[1]SADC!W33-[1]SADC!X33-X33&gt;0,W33+[1]SADC!W33-[1]SADC!X33-X33,0)</f>
        <v>0</v>
      </c>
      <c r="Z33" s="182">
        <f>+IF(X33+[1]SADC!X33-[1]SADC!W33-W33&gt;0,X33+[1]SADC!X33-[1]SADC!W33-W33,0)</f>
        <v>0</v>
      </c>
      <c r="AA33" s="182">
        <f>+IF(Y33+[1]SADC!Y33-[1]SADC!Z33-Z33&gt;0,Y33+[1]SADC!Y33-[1]SADC!Z33-Z33,0)</f>
        <v>0</v>
      </c>
      <c r="AB33" s="182">
        <f>+IF(Z33+[1]SADC!Z33-[1]SADC!Y33-Y33&gt;0,Z33+[1]SADC!Z33-[1]SADC!Y33-Y33,0)</f>
        <v>0</v>
      </c>
      <c r="AC33" s="181"/>
      <c r="AD33" s="182">
        <f t="shared" si="0"/>
        <v>0</v>
      </c>
      <c r="AE33" s="182">
        <f t="shared" si="0"/>
        <v>0</v>
      </c>
      <c r="AF33" s="181"/>
    </row>
    <row r="34" spans="1:32">
      <c r="A34" s="181" t="str">
        <f>+VLOOKUP(B34,'[1]coa-mgb'!A$1:B$65536,2,0)</f>
        <v>Office Buildings</v>
      </c>
      <c r="B34" s="184" t="s">
        <v>36</v>
      </c>
      <c r="C34" s="182">
        <f>+SUMIFS('[1]10604010 00'!$F$1:$F$65536,'[1]10604010 00'!$D$1:$D$65536,"Beginning Balance",'[1]10604010 00'!$D$1:$D$65536,"Beginning Balance")</f>
        <v>8564966.2699999996</v>
      </c>
      <c r="D34" s="182">
        <f>+SUMIFS('[1]10604010 00'!$H$1:$H$65536,'[1]10604010 00'!$D$1:$D$65536,"Beginning Balance",'[1]10604010 00'!$D$1:$D$65536,"Beginning Balance")</f>
        <v>0</v>
      </c>
      <c r="E34" s="182">
        <f>+IF(C34+[1]SADC!C34-[1]SADC!D34-D34&gt;0,C34+[1]SADC!C34-[1]SADC!D34-D34,0)</f>
        <v>8564966.2699999996</v>
      </c>
      <c r="F34" s="182">
        <f>+IF(D34+[1]SADC!D34-[1]SADC!C34-C34&gt;0,D34+[1]SADC!D34-[1]SADC!C34-C34,0)</f>
        <v>0</v>
      </c>
      <c r="G34" s="182">
        <f>+IF(E34+[1]SADC!E34-[1]SADC!F34-F34&gt;0,E34+[1]SADC!E34-[1]SADC!F34-F34,0)</f>
        <v>8564966.2699999996</v>
      </c>
      <c r="H34" s="182">
        <f>+IF(F34+[1]SADC!F34-[1]SADC!E34-E34&gt;0,F34+[1]SADC!F34-[1]SADC!E34-E34,0)</f>
        <v>0</v>
      </c>
      <c r="I34" s="182">
        <f>+IF(G34+[1]SADC!G34-[1]SADC!H34-H34&gt;0,G34+[1]SADC!G34-[1]SADC!H34-H34,0)</f>
        <v>8564966.2699999996</v>
      </c>
      <c r="J34" s="182">
        <f>+IF(H34+[1]SADC!H34-[1]SADC!G34-G34&gt;0,H34+[1]SADC!H34-[1]SADC!G34-G34,0)</f>
        <v>0</v>
      </c>
      <c r="K34" s="182">
        <f>+IF(I34+[1]SADC!I34-[1]SADC!J34-J34&gt;0,I34+[1]SADC!I34-[1]SADC!J34-J34,0)</f>
        <v>8564966.2699999996</v>
      </c>
      <c r="L34" s="182">
        <f>+IF(J34+[1]SADC!J34-[1]SADC!I34-I34&gt;0,J34+[1]SADC!J34-[1]SADC!I34-I34,0)</f>
        <v>0</v>
      </c>
      <c r="M34" s="182">
        <f>+IF(K34+[1]SADC!K34-[1]SADC!L34-L34&gt;0,K34+[1]SADC!K34-[1]SADC!L34-L34,0)</f>
        <v>8564966.2699999996</v>
      </c>
      <c r="N34" s="182">
        <f>+IF(L34+[1]SADC!L34-[1]SADC!K34-K34&gt;0,L34+[1]SADC!L34-[1]SADC!K34-K34,0)</f>
        <v>0</v>
      </c>
      <c r="O34" s="182">
        <f>+IF(M34+[1]SADC!M34-[1]SADC!N34-N34&gt;0,M34+[1]SADC!M34-[1]SADC!N34-N34,0)</f>
        <v>8564966.2699999996</v>
      </c>
      <c r="P34" s="182">
        <f>+IF(N34+[1]SADC!N34-[1]SADC!M34-M34&gt;0,N34+[1]SADC!N34-[1]SADC!M34-M34,0)</f>
        <v>0</v>
      </c>
      <c r="Q34" s="182">
        <f>+IF(O34+[1]SADC!O34-[1]SADC!P34-P34&gt;0,O34+[1]SADC!O34-[1]SADC!P34-P34,0)</f>
        <v>8564966.2699999996</v>
      </c>
      <c r="R34" s="182">
        <f>+IF(P34+[1]SADC!P34-[1]SADC!O34-O34&gt;0,P34+[1]SADC!P34-[1]SADC!O34-O34,0)</f>
        <v>0</v>
      </c>
      <c r="S34" s="182">
        <f>+IF(Q34+[1]SADC!Q34-[1]SADC!R34-R34&gt;0,Q34+[1]SADC!Q34-[1]SADC!R34-R34,0)</f>
        <v>8564966.2699999996</v>
      </c>
      <c r="T34" s="182">
        <f>+IF(R34+[1]SADC!R34-[1]SADC!Q34-Q34&gt;0,R34+[1]SADC!R34-[1]SADC!Q34-Q34,0)</f>
        <v>0</v>
      </c>
      <c r="U34" s="182">
        <f>+IF(S34+[1]SADC!S34-[1]SADC!T34-T34&gt;0,S34+[1]SADC!S34-[1]SADC!T34-T34,0)</f>
        <v>8564966.2699999996</v>
      </c>
      <c r="V34" s="182">
        <f>+IF(T34+[1]SADC!T34-[1]SADC!S34-S34&gt;0,T34+[1]SADC!T34-[1]SADC!S34-S34,0)</f>
        <v>0</v>
      </c>
      <c r="W34" s="182">
        <f>+IF(U34+[1]SADC!U34-[1]SADC!V34-V34&gt;0,U34+[1]SADC!U34-[1]SADC!V34-V34,0)</f>
        <v>8564966.2699999996</v>
      </c>
      <c r="X34" s="182">
        <f>+IF(V34+[1]SADC!V34-[1]SADC!U34-U34&gt;0,V34+[1]SADC!V34-[1]SADC!U34-U34,0)</f>
        <v>0</v>
      </c>
      <c r="Y34" s="182">
        <f>+IF(W34+[1]SADC!W34-[1]SADC!X34-X34&gt;0,W34+[1]SADC!W34-[1]SADC!X34-X34,0)</f>
        <v>8564966.2699999996</v>
      </c>
      <c r="Z34" s="182">
        <f>+IF(X34+[1]SADC!X34-[1]SADC!W34-W34&gt;0,X34+[1]SADC!X34-[1]SADC!W34-W34,0)</f>
        <v>0</v>
      </c>
      <c r="AA34" s="182">
        <f>+IF(Y34+[1]SADC!Y34-[1]SADC!Z34-Z34&gt;0,Y34+[1]SADC!Y34-[1]SADC!Z34-Z34,0)</f>
        <v>8564966.2699999996</v>
      </c>
      <c r="AB34" s="182">
        <f>+IF(Z34+[1]SADC!Z34-[1]SADC!Y34-Y34&gt;0,Z34+[1]SADC!Z34-[1]SADC!Y34-Y34,0)</f>
        <v>0</v>
      </c>
      <c r="AC34" s="181"/>
      <c r="AD34" s="182">
        <f t="shared" si="0"/>
        <v>8564966.2699999996</v>
      </c>
      <c r="AE34" s="182">
        <f t="shared" si="0"/>
        <v>0</v>
      </c>
      <c r="AF34" s="181"/>
    </row>
    <row r="35" spans="1:32">
      <c r="A35" s="181" t="str">
        <f>+VLOOKUP(B35,'[1]coa-mgb'!A$1:B$65536,2,0)</f>
        <v xml:space="preserve">Accumulated Depreciation - Office Buildings </v>
      </c>
      <c r="B35" s="184" t="s">
        <v>37</v>
      </c>
      <c r="C35" s="182">
        <f>+SUMIFS('[1]10604011 00'!$F$1:$F$65536,'[1]10604011 00'!$D$1:$D$65536,"Beginning Balance",'[1]10604011 00'!$D$1:$D$65536,"Beginning Balance")</f>
        <v>0</v>
      </c>
      <c r="D35" s="182">
        <f>+SUMIFS('[1]10604011 00'!$H$1:$H$65536,'[1]10604011 00'!$D$1:$D$65536,"Beginning Balance",'[1]10604011 00'!$D$1:$D$65536,"Beginning Balance")</f>
        <v>1855327.44</v>
      </c>
      <c r="E35" s="182">
        <f>+IF(C35+[1]SADC!C35-[1]SADC!D35-D35&gt;0,C35+[1]SADC!C35-[1]SADC!D35-D35,0)</f>
        <v>0</v>
      </c>
      <c r="F35" s="182">
        <f>+IF(D35+[1]SADC!D35-[1]SADC!C35-C35&gt;0,D35+[1]SADC!D35-[1]SADC!C35-C35,0)</f>
        <v>1875639.8599999999</v>
      </c>
      <c r="G35" s="182">
        <f>+IF(E35+[1]SADC!E35-[1]SADC!F35-F35&gt;0,E35+[1]SADC!E35-[1]SADC!F35-F35,0)</f>
        <v>0</v>
      </c>
      <c r="H35" s="182">
        <f>+IF(F35+[1]SADC!F35-[1]SADC!E35-E35&gt;0,F35+[1]SADC!F35-[1]SADC!E35-E35,0)</f>
        <v>1895952.2699999998</v>
      </c>
      <c r="I35" s="182">
        <f>+IF(G35+[1]SADC!G35-[1]SADC!H35-H35&gt;0,G35+[1]SADC!G35-[1]SADC!H35-H35,0)</f>
        <v>0</v>
      </c>
      <c r="J35" s="182">
        <f>+IF(H35+[1]SADC!H35-[1]SADC!G35-G35&gt;0,H35+[1]SADC!H35-[1]SADC!G35-G35,0)</f>
        <v>1916264.6899999997</v>
      </c>
      <c r="K35" s="182">
        <f>+IF(I35+[1]SADC!I35-[1]SADC!J35-J35&gt;0,I35+[1]SADC!I35-[1]SADC!J35-J35,0)</f>
        <v>0</v>
      </c>
      <c r="L35" s="182">
        <f>+IF(J35+[1]SADC!J35-[1]SADC!I35-I35&gt;0,J35+[1]SADC!J35-[1]SADC!I35-I35,0)</f>
        <v>1916264.6899999997</v>
      </c>
      <c r="M35" s="182">
        <f>+IF(K35+[1]SADC!K35-[1]SADC!L35-L35&gt;0,K35+[1]SADC!K35-[1]SADC!L35-L35,0)</f>
        <v>0</v>
      </c>
      <c r="N35" s="182">
        <f>+IF(L35+[1]SADC!L35-[1]SADC!K35-K35&gt;0,L35+[1]SADC!L35-[1]SADC!K35-K35,0)</f>
        <v>1916264.6899999997</v>
      </c>
      <c r="O35" s="182">
        <f>+IF(M35+[1]SADC!M35-[1]SADC!N35-N35&gt;0,M35+[1]SADC!M35-[1]SADC!N35-N35,0)</f>
        <v>0</v>
      </c>
      <c r="P35" s="182">
        <f>+IF(N35+[1]SADC!N35-[1]SADC!M35-M35&gt;0,N35+[1]SADC!N35-[1]SADC!M35-M35,0)</f>
        <v>1916264.6899999997</v>
      </c>
      <c r="Q35" s="182">
        <f>+IF(O35+[1]SADC!O35-[1]SADC!P35-P35&gt;0,O35+[1]SADC!O35-[1]SADC!P35-P35,0)</f>
        <v>0</v>
      </c>
      <c r="R35" s="182">
        <f>+IF(P35+[1]SADC!P35-[1]SADC!O35-O35&gt;0,P35+[1]SADC!P35-[1]SADC!O35-O35,0)</f>
        <v>1916264.6899999997</v>
      </c>
      <c r="S35" s="182">
        <f>+IF(Q35+[1]SADC!Q35-[1]SADC!R35-R35&gt;0,Q35+[1]SADC!Q35-[1]SADC!R35-R35,0)</f>
        <v>0</v>
      </c>
      <c r="T35" s="182">
        <f>+IF(R35+[1]SADC!R35-[1]SADC!Q35-Q35&gt;0,R35+[1]SADC!R35-[1]SADC!Q35-Q35,0)</f>
        <v>1916264.6899999997</v>
      </c>
      <c r="U35" s="182">
        <f>+IF(S35+[1]SADC!S35-[1]SADC!T35-T35&gt;0,S35+[1]SADC!S35-[1]SADC!T35-T35,0)</f>
        <v>0</v>
      </c>
      <c r="V35" s="182">
        <f>+IF(T35+[1]SADC!T35-[1]SADC!S35-S35&gt;0,T35+[1]SADC!T35-[1]SADC!S35-S35,0)</f>
        <v>1916264.6899999997</v>
      </c>
      <c r="W35" s="182">
        <f>+IF(U35+[1]SADC!U35-[1]SADC!V35-V35&gt;0,U35+[1]SADC!U35-[1]SADC!V35-V35,0)</f>
        <v>0</v>
      </c>
      <c r="X35" s="182">
        <f>+IF(V35+[1]SADC!V35-[1]SADC!U35-U35&gt;0,V35+[1]SADC!V35-[1]SADC!U35-U35,0)</f>
        <v>1916264.6899999997</v>
      </c>
      <c r="Y35" s="182">
        <f>+IF(W35+[1]SADC!W35-[1]SADC!X35-X35&gt;0,W35+[1]SADC!W35-[1]SADC!X35-X35,0)</f>
        <v>0</v>
      </c>
      <c r="Z35" s="182">
        <f>+IF(X35+[1]SADC!X35-[1]SADC!W35-W35&gt;0,X35+[1]SADC!X35-[1]SADC!W35-W35,0)</f>
        <v>1916264.6899999997</v>
      </c>
      <c r="AA35" s="182">
        <f>+IF(Y35+[1]SADC!Y35-[1]SADC!Z35-Z35&gt;0,Y35+[1]SADC!Y35-[1]SADC!Z35-Z35,0)</f>
        <v>0</v>
      </c>
      <c r="AB35" s="182">
        <f>+IF(Z35+[1]SADC!Z35-[1]SADC!Y35-Y35&gt;0,Z35+[1]SADC!Z35-[1]SADC!Y35-Y35,0)</f>
        <v>1916264.6899999997</v>
      </c>
      <c r="AC35" s="181"/>
      <c r="AD35" s="182">
        <f t="shared" si="0"/>
        <v>0</v>
      </c>
      <c r="AE35" s="182">
        <f t="shared" si="0"/>
        <v>1916264.6899999997</v>
      </c>
      <c r="AF35" s="181"/>
    </row>
    <row r="36" spans="1:32">
      <c r="A36" s="181" t="str">
        <f>+VLOOKUP(B36,'[1]coa-mgb'!A$1:B$65536,2,0)</f>
        <v>Other Structures</v>
      </c>
      <c r="B36" s="184" t="s">
        <v>38</v>
      </c>
      <c r="C36" s="182">
        <f>+SUMIFS('[1]10604990 00'!$F$1:$F$65536,'[1]10604990 00'!$D$1:$D$65536,"Beginning Balance",'[1]10604990 00'!$D$1:$D$65536,"Beginning Balance")</f>
        <v>0</v>
      </c>
      <c r="D36" s="182">
        <f>+SUMIFS('[1]10604990 00'!$H$1:$H$65536,'[1]10604990 00'!$D$1:$D$65536,"Beginning Balance",'[1]10604990 00'!$D$1:$D$65536,"Beginning Balance")</f>
        <v>0</v>
      </c>
      <c r="E36" s="182">
        <f>+IF(C36+[1]SADC!C36-[1]SADC!D36-D36&gt;0,C36+[1]SADC!C36-[1]SADC!D36-D36,0)</f>
        <v>0</v>
      </c>
      <c r="F36" s="182">
        <f>+IF(D36+[1]SADC!D36-[1]SADC!C36-C36&gt;0,D36+[1]SADC!D36-[1]SADC!C36-C36,0)</f>
        <v>0</v>
      </c>
      <c r="G36" s="182">
        <f>+IF(E36+[1]SADC!E36-[1]SADC!F36-F36&gt;0,E36+[1]SADC!E36-[1]SADC!F36-F36,0)</f>
        <v>0</v>
      </c>
      <c r="H36" s="182">
        <f>+IF(F36+[1]SADC!F36-[1]SADC!E36-E36&gt;0,F36+[1]SADC!F36-[1]SADC!E36-E36,0)</f>
        <v>0</v>
      </c>
      <c r="I36" s="182">
        <f>+IF(G36+[1]SADC!G36-[1]SADC!H36-H36&gt;0,G36+[1]SADC!G36-[1]SADC!H36-H36,0)</f>
        <v>0</v>
      </c>
      <c r="J36" s="182">
        <f>+IF(H36+[1]SADC!H36-[1]SADC!G36-G36&gt;0,H36+[1]SADC!H36-[1]SADC!G36-G36,0)</f>
        <v>0</v>
      </c>
      <c r="K36" s="182">
        <f>+IF(I36+[1]SADC!I36-[1]SADC!J36-J36&gt;0,I36+[1]SADC!I36-[1]SADC!J36-J36,0)</f>
        <v>0</v>
      </c>
      <c r="L36" s="182">
        <f>+IF(J36+[1]SADC!J36-[1]SADC!I36-I36&gt;0,J36+[1]SADC!J36-[1]SADC!I36-I36,0)</f>
        <v>0</v>
      </c>
      <c r="M36" s="182">
        <f>+IF(K36+[1]SADC!K36-[1]SADC!L36-L36&gt;0,K36+[1]SADC!K36-[1]SADC!L36-L36,0)</f>
        <v>0</v>
      </c>
      <c r="N36" s="182">
        <f>+IF(L36+[1]SADC!L36-[1]SADC!K36-K36&gt;0,L36+[1]SADC!L36-[1]SADC!K36-K36,0)</f>
        <v>0</v>
      </c>
      <c r="O36" s="182">
        <f>+IF(M36+[1]SADC!M36-[1]SADC!N36-N36&gt;0,M36+[1]SADC!M36-[1]SADC!N36-N36,0)</f>
        <v>0</v>
      </c>
      <c r="P36" s="182">
        <f>+IF(N36+[1]SADC!N36-[1]SADC!M36-M36&gt;0,N36+[1]SADC!N36-[1]SADC!M36-M36,0)</f>
        <v>0</v>
      </c>
      <c r="Q36" s="182">
        <f>+IF(O36+[1]SADC!O36-[1]SADC!P36-P36&gt;0,O36+[1]SADC!O36-[1]SADC!P36-P36,0)</f>
        <v>0</v>
      </c>
      <c r="R36" s="182">
        <f>+IF(P36+[1]SADC!P36-[1]SADC!O36-O36&gt;0,P36+[1]SADC!P36-[1]SADC!O36-O36,0)</f>
        <v>0</v>
      </c>
      <c r="S36" s="182">
        <f>+IF(Q36+[1]SADC!Q36-[1]SADC!R36-R36&gt;0,Q36+[1]SADC!Q36-[1]SADC!R36-R36,0)</f>
        <v>0</v>
      </c>
      <c r="T36" s="182">
        <f>+IF(R36+[1]SADC!R36-[1]SADC!Q36-Q36&gt;0,R36+[1]SADC!R36-[1]SADC!Q36-Q36,0)</f>
        <v>0</v>
      </c>
      <c r="U36" s="182">
        <f>+IF(S36+[1]SADC!S36-[1]SADC!T36-T36&gt;0,S36+[1]SADC!S36-[1]SADC!T36-T36,0)</f>
        <v>0</v>
      </c>
      <c r="V36" s="182">
        <f>+IF(T36+[1]SADC!T36-[1]SADC!S36-S36&gt;0,T36+[1]SADC!T36-[1]SADC!S36-S36,0)</f>
        <v>0</v>
      </c>
      <c r="W36" s="182">
        <f>+IF(U36+[1]SADC!U36-[1]SADC!V36-V36&gt;0,U36+[1]SADC!U36-[1]SADC!V36-V36,0)</f>
        <v>0</v>
      </c>
      <c r="X36" s="182">
        <f>+IF(V36+[1]SADC!V36-[1]SADC!U36-U36&gt;0,V36+[1]SADC!V36-[1]SADC!U36-U36,0)</f>
        <v>0</v>
      </c>
      <c r="Y36" s="182">
        <f>+IF(W36+[1]SADC!W36-[1]SADC!X36-X36&gt;0,W36+[1]SADC!W36-[1]SADC!X36-X36,0)</f>
        <v>0</v>
      </c>
      <c r="Z36" s="182">
        <f>+IF(X36+[1]SADC!X36-[1]SADC!W36-W36&gt;0,X36+[1]SADC!X36-[1]SADC!W36-W36,0)</f>
        <v>0</v>
      </c>
      <c r="AA36" s="182">
        <f>+IF(Y36+[1]SADC!Y36-[1]SADC!Z36-Z36&gt;0,Y36+[1]SADC!Y36-[1]SADC!Z36-Z36,0)</f>
        <v>0</v>
      </c>
      <c r="AB36" s="182">
        <f>+IF(Z36+[1]SADC!Z36-[1]SADC!Y36-Y36&gt;0,Z36+[1]SADC!Z36-[1]SADC!Y36-Y36,0)</f>
        <v>0</v>
      </c>
      <c r="AC36" s="181"/>
      <c r="AD36" s="182">
        <f t="shared" si="0"/>
        <v>0</v>
      </c>
      <c r="AE36" s="182">
        <f t="shared" si="0"/>
        <v>0</v>
      </c>
      <c r="AF36" s="181"/>
    </row>
    <row r="37" spans="1:32">
      <c r="A37" s="181" t="str">
        <f>+VLOOKUP(B37,'[1]coa-mgb'!A$1:B$65536,2,0)</f>
        <v>Accumulated Depreciation - Other Structures</v>
      </c>
      <c r="B37" s="184" t="s">
        <v>39</v>
      </c>
      <c r="C37" s="182">
        <f>+SUMIFS('[1]10604991 00'!$F$1:$F$65536,'[1]10604991 00'!$D$1:$D$65536,"Beginning Balance",'[1]10604991 00'!$D$1:$D$65536,"Beginning Balance")</f>
        <v>0</v>
      </c>
      <c r="D37" s="182">
        <f>+SUMIFS('[1]10604991 00'!$H$1:$H$65536,'[1]10604991 00'!$D$1:$D$65536,"Beginning Balance",'[1]10604991 00'!$D$1:$D$65536,"Beginning Balance")</f>
        <v>0</v>
      </c>
      <c r="E37" s="182">
        <f>+IF(C37+[1]SADC!C37-[1]SADC!D37-D37&gt;0,C37+[1]SADC!C37-[1]SADC!D37-D37,0)</f>
        <v>0</v>
      </c>
      <c r="F37" s="182">
        <f>+IF(D37+[1]SADC!D37-[1]SADC!C37-C37&gt;0,D37+[1]SADC!D37-[1]SADC!C37-C37,0)</f>
        <v>0</v>
      </c>
      <c r="G37" s="182">
        <f>+IF(E37+[1]SADC!E37-[1]SADC!F37-F37&gt;0,E37+[1]SADC!E37-[1]SADC!F37-F37,0)</f>
        <v>0</v>
      </c>
      <c r="H37" s="182">
        <f>+IF(F37+[1]SADC!F37-[1]SADC!E37-E37&gt;0,F37+[1]SADC!F37-[1]SADC!E37-E37,0)</f>
        <v>0</v>
      </c>
      <c r="I37" s="182">
        <f>+IF(G37+[1]SADC!G37-[1]SADC!H37-H37&gt;0,G37+[1]SADC!G37-[1]SADC!H37-H37,0)</f>
        <v>0</v>
      </c>
      <c r="J37" s="182">
        <f>+IF(H37+[1]SADC!H37-[1]SADC!G37-G37&gt;0,H37+[1]SADC!H37-[1]SADC!G37-G37,0)</f>
        <v>0</v>
      </c>
      <c r="K37" s="182">
        <f>+IF(I37+[1]SADC!I37-[1]SADC!J37-J37&gt;0,I37+[1]SADC!I37-[1]SADC!J37-J37,0)</f>
        <v>0</v>
      </c>
      <c r="L37" s="182">
        <f>+IF(J37+[1]SADC!J37-[1]SADC!I37-I37&gt;0,J37+[1]SADC!J37-[1]SADC!I37-I37,0)</f>
        <v>0</v>
      </c>
      <c r="M37" s="182">
        <f>+IF(K37+[1]SADC!K37-[1]SADC!L37-L37&gt;0,K37+[1]SADC!K37-[1]SADC!L37-L37,0)</f>
        <v>0</v>
      </c>
      <c r="N37" s="182">
        <f>+IF(L37+[1]SADC!L37-[1]SADC!K37-K37&gt;0,L37+[1]SADC!L37-[1]SADC!K37-K37,0)</f>
        <v>0</v>
      </c>
      <c r="O37" s="182">
        <f>+IF(M37+[1]SADC!M37-[1]SADC!N37-N37&gt;0,M37+[1]SADC!M37-[1]SADC!N37-N37,0)</f>
        <v>0</v>
      </c>
      <c r="P37" s="182">
        <f>+IF(N37+[1]SADC!N37-[1]SADC!M37-M37&gt;0,N37+[1]SADC!N37-[1]SADC!M37-M37,0)</f>
        <v>0</v>
      </c>
      <c r="Q37" s="182">
        <f>+IF(O37+[1]SADC!O37-[1]SADC!P37-P37&gt;0,O37+[1]SADC!O37-[1]SADC!P37-P37,0)</f>
        <v>0</v>
      </c>
      <c r="R37" s="182">
        <f>+IF(P37+[1]SADC!P37-[1]SADC!O37-O37&gt;0,P37+[1]SADC!P37-[1]SADC!O37-O37,0)</f>
        <v>0</v>
      </c>
      <c r="S37" s="182">
        <f>+IF(Q37+[1]SADC!Q37-[1]SADC!R37-R37&gt;0,Q37+[1]SADC!Q37-[1]SADC!R37-R37,0)</f>
        <v>0</v>
      </c>
      <c r="T37" s="182">
        <f>+IF(R37+[1]SADC!R37-[1]SADC!Q37-Q37&gt;0,R37+[1]SADC!R37-[1]SADC!Q37-Q37,0)</f>
        <v>0</v>
      </c>
      <c r="U37" s="182">
        <f>+IF(S37+[1]SADC!S37-[1]SADC!T37-T37&gt;0,S37+[1]SADC!S37-[1]SADC!T37-T37,0)</f>
        <v>0</v>
      </c>
      <c r="V37" s="182">
        <f>+IF(T37+[1]SADC!T37-[1]SADC!S37-S37&gt;0,T37+[1]SADC!T37-[1]SADC!S37-S37,0)</f>
        <v>0</v>
      </c>
      <c r="W37" s="182">
        <f>+IF(U37+[1]SADC!U37-[1]SADC!V37-V37&gt;0,U37+[1]SADC!U37-[1]SADC!V37-V37,0)</f>
        <v>0</v>
      </c>
      <c r="X37" s="182">
        <f>+IF(V37+[1]SADC!V37-[1]SADC!U37-U37&gt;0,V37+[1]SADC!V37-[1]SADC!U37-U37,0)</f>
        <v>0</v>
      </c>
      <c r="Y37" s="182">
        <f>+IF(W37+[1]SADC!W37-[1]SADC!X37-X37&gt;0,W37+[1]SADC!W37-[1]SADC!X37-X37,0)</f>
        <v>0</v>
      </c>
      <c r="Z37" s="182">
        <f>+IF(X37+[1]SADC!X37-[1]SADC!W37-W37&gt;0,X37+[1]SADC!X37-[1]SADC!W37-W37,0)</f>
        <v>0</v>
      </c>
      <c r="AA37" s="182">
        <f>+IF(Y37+[1]SADC!Y37-[1]SADC!Z37-Z37&gt;0,Y37+[1]SADC!Y37-[1]SADC!Z37-Z37,0)</f>
        <v>0</v>
      </c>
      <c r="AB37" s="182">
        <f>+IF(Z37+[1]SADC!Z37-[1]SADC!Y37-Y37&gt;0,Z37+[1]SADC!Z37-[1]SADC!Y37-Y37,0)</f>
        <v>0</v>
      </c>
      <c r="AC37" s="181"/>
      <c r="AD37" s="182">
        <f t="shared" si="0"/>
        <v>0</v>
      </c>
      <c r="AE37" s="182">
        <f t="shared" si="0"/>
        <v>0</v>
      </c>
      <c r="AF37" s="181"/>
    </row>
    <row r="38" spans="1:32">
      <c r="A38" s="181" t="str">
        <f>+VLOOKUP(B38,'[1]coa-mgb'!A$1:B$65536,2,0)</f>
        <v>Machinery</v>
      </c>
      <c r="B38" s="184" t="s">
        <v>40</v>
      </c>
      <c r="C38" s="182">
        <f>+SUMIFS('[1]10605010 00'!$F$1:$F$65536,'[1]10605010 00'!$D$1:$D$65536,"Beginning Balance",'[1]10605010 00'!$D$1:$D$65536,"Beginning Balance")</f>
        <v>0</v>
      </c>
      <c r="D38" s="182">
        <f>+SUMIFS('[1]10605010 00'!$H$1:$H$65536,'[1]10605010 00'!$D$1:$D$65536,"Beginning Balance",'[1]10605010 00'!$D$1:$D$65536,"Beginning Balance")</f>
        <v>0</v>
      </c>
      <c r="E38" s="182">
        <f>+IF(C38+[1]SADC!C38-[1]SADC!D38-D38&gt;0,C38+[1]SADC!C38-[1]SADC!D38-D38,0)</f>
        <v>0</v>
      </c>
      <c r="F38" s="182">
        <f>+IF(D38+[1]SADC!D38-[1]SADC!C38-C38&gt;0,D38+[1]SADC!D38-[1]SADC!C38-C38,0)</f>
        <v>0</v>
      </c>
      <c r="G38" s="182">
        <f>+IF(E38+[1]SADC!E38-[1]SADC!F38-F38&gt;0,E38+[1]SADC!E38-[1]SADC!F38-F38,0)</f>
        <v>0</v>
      </c>
      <c r="H38" s="182">
        <f>+IF(F38+[1]SADC!F38-[1]SADC!E38-E38&gt;0,F38+[1]SADC!F38-[1]SADC!E38-E38,0)</f>
        <v>0</v>
      </c>
      <c r="I38" s="182">
        <f>+IF(G38+[1]SADC!G38-[1]SADC!H38-H38&gt;0,G38+[1]SADC!G38-[1]SADC!H38-H38,0)</f>
        <v>0</v>
      </c>
      <c r="J38" s="182">
        <f>+IF(H38+[1]SADC!H38-[1]SADC!G38-G38&gt;0,H38+[1]SADC!H38-[1]SADC!G38-G38,0)</f>
        <v>0</v>
      </c>
      <c r="K38" s="182">
        <f>+IF(I38+[1]SADC!I38-[1]SADC!J38-J38&gt;0,I38+[1]SADC!I38-[1]SADC!J38-J38,0)</f>
        <v>0</v>
      </c>
      <c r="L38" s="182">
        <f>+IF(J38+[1]SADC!J38-[1]SADC!I38-I38&gt;0,J38+[1]SADC!J38-[1]SADC!I38-I38,0)</f>
        <v>0</v>
      </c>
      <c r="M38" s="182">
        <f>+IF(K38+[1]SADC!K38-[1]SADC!L38-L38&gt;0,K38+[1]SADC!K38-[1]SADC!L38-L38,0)</f>
        <v>0</v>
      </c>
      <c r="N38" s="182">
        <f>+IF(L38+[1]SADC!L38-[1]SADC!K38-K38&gt;0,L38+[1]SADC!L38-[1]SADC!K38-K38,0)</f>
        <v>0</v>
      </c>
      <c r="O38" s="182">
        <f>+IF(M38+[1]SADC!M38-[1]SADC!N38-N38&gt;0,M38+[1]SADC!M38-[1]SADC!N38-N38,0)</f>
        <v>0</v>
      </c>
      <c r="P38" s="182">
        <f>+IF(N38+[1]SADC!N38-[1]SADC!M38-M38&gt;0,N38+[1]SADC!N38-[1]SADC!M38-M38,0)</f>
        <v>0</v>
      </c>
      <c r="Q38" s="182">
        <f>+IF(O38+[1]SADC!O38-[1]SADC!P38-P38&gt;0,O38+[1]SADC!O38-[1]SADC!P38-P38,0)</f>
        <v>0</v>
      </c>
      <c r="R38" s="182">
        <f>+IF(P38+[1]SADC!P38-[1]SADC!O38-O38&gt;0,P38+[1]SADC!P38-[1]SADC!O38-O38,0)</f>
        <v>0</v>
      </c>
      <c r="S38" s="182">
        <f>+IF(Q38+[1]SADC!Q38-[1]SADC!R38-R38&gt;0,Q38+[1]SADC!Q38-[1]SADC!R38-R38,0)</f>
        <v>0</v>
      </c>
      <c r="T38" s="182">
        <f>+IF(R38+[1]SADC!R38-[1]SADC!Q38-Q38&gt;0,R38+[1]SADC!R38-[1]SADC!Q38-Q38,0)</f>
        <v>0</v>
      </c>
      <c r="U38" s="182">
        <f>+IF(S38+[1]SADC!S38-[1]SADC!T38-T38&gt;0,S38+[1]SADC!S38-[1]SADC!T38-T38,0)</f>
        <v>0</v>
      </c>
      <c r="V38" s="182">
        <f>+IF(T38+[1]SADC!T38-[1]SADC!S38-S38&gt;0,T38+[1]SADC!T38-[1]SADC!S38-S38,0)</f>
        <v>0</v>
      </c>
      <c r="W38" s="182">
        <f>+IF(U38+[1]SADC!U38-[1]SADC!V38-V38&gt;0,U38+[1]SADC!U38-[1]SADC!V38-V38,0)</f>
        <v>0</v>
      </c>
      <c r="X38" s="182">
        <f>+IF(V38+[1]SADC!V38-[1]SADC!U38-U38&gt;0,V38+[1]SADC!V38-[1]SADC!U38-U38,0)</f>
        <v>0</v>
      </c>
      <c r="Y38" s="182">
        <f>+IF(W38+[1]SADC!W38-[1]SADC!X38-X38&gt;0,W38+[1]SADC!W38-[1]SADC!X38-X38,0)</f>
        <v>0</v>
      </c>
      <c r="Z38" s="182">
        <f>+IF(X38+[1]SADC!X38-[1]SADC!W38-W38&gt;0,X38+[1]SADC!X38-[1]SADC!W38-W38,0)</f>
        <v>0</v>
      </c>
      <c r="AA38" s="182">
        <f>+IF(Y38+[1]SADC!Y38-[1]SADC!Z38-Z38&gt;0,Y38+[1]SADC!Y38-[1]SADC!Z38-Z38,0)</f>
        <v>0</v>
      </c>
      <c r="AB38" s="182">
        <f>+IF(Z38+[1]SADC!Z38-[1]SADC!Y38-Y38&gt;0,Z38+[1]SADC!Z38-[1]SADC!Y38-Y38,0)</f>
        <v>0</v>
      </c>
      <c r="AC38" s="181"/>
      <c r="AD38" s="182">
        <f t="shared" si="0"/>
        <v>0</v>
      </c>
      <c r="AE38" s="182">
        <f t="shared" si="0"/>
        <v>0</v>
      </c>
      <c r="AF38" s="181"/>
    </row>
    <row r="39" spans="1:32">
      <c r="A39" s="181" t="str">
        <f>+VLOOKUP(B39,'[1]coa-mgb'!A$1:B$65536,2,0)</f>
        <v>Accumulated Depreciation - Machinery</v>
      </c>
      <c r="B39" s="184" t="s">
        <v>41</v>
      </c>
      <c r="C39" s="182">
        <f>+SUMIFS('[1]10605011 00'!$F$1:$F$65536,'[1]10605011 00'!$D$1:$D$65536,"Beginning Balance",'[1]10605011 00'!$D$1:$D$65536,"Beginning Balance")</f>
        <v>0</v>
      </c>
      <c r="D39" s="182">
        <f>+SUMIFS('[1]10605011 00'!$H$1:$H$65536,'[1]10605011 00'!$D$1:$D$65536,"Beginning Balance",'[1]10605011 00'!$D$1:$D$65536,"Beginning Balance")</f>
        <v>0</v>
      </c>
      <c r="E39" s="182">
        <f>+IF(C39+[1]SADC!C39-[1]SADC!D39-D39&gt;0,C39+[1]SADC!C39-[1]SADC!D39-D39,0)</f>
        <v>0</v>
      </c>
      <c r="F39" s="182">
        <f>+IF(D39+[1]SADC!D39-[1]SADC!C39-C39&gt;0,D39+[1]SADC!D39-[1]SADC!C39-C39,0)</f>
        <v>0</v>
      </c>
      <c r="G39" s="182">
        <f>+IF(E39+[1]SADC!E39-[1]SADC!F39-F39&gt;0,E39+[1]SADC!E39-[1]SADC!F39-F39,0)</f>
        <v>0</v>
      </c>
      <c r="H39" s="182">
        <f>+IF(F39+[1]SADC!F39-[1]SADC!E39-E39&gt;0,F39+[1]SADC!F39-[1]SADC!E39-E39,0)</f>
        <v>0</v>
      </c>
      <c r="I39" s="182">
        <f>+IF(G39+[1]SADC!G39-[1]SADC!H39-H39&gt;0,G39+[1]SADC!G39-[1]SADC!H39-H39,0)</f>
        <v>0</v>
      </c>
      <c r="J39" s="182">
        <f>+IF(H39+[1]SADC!H39-[1]SADC!G39-G39&gt;0,H39+[1]SADC!H39-[1]SADC!G39-G39,0)</f>
        <v>0</v>
      </c>
      <c r="K39" s="182">
        <f>+IF(I39+[1]SADC!I39-[1]SADC!J39-J39&gt;0,I39+[1]SADC!I39-[1]SADC!J39-J39,0)</f>
        <v>0</v>
      </c>
      <c r="L39" s="182">
        <f>+IF(J39+[1]SADC!J39-[1]SADC!I39-I39&gt;0,J39+[1]SADC!J39-[1]SADC!I39-I39,0)</f>
        <v>0</v>
      </c>
      <c r="M39" s="182">
        <f>+IF(K39+[1]SADC!K39-[1]SADC!L39-L39&gt;0,K39+[1]SADC!K39-[1]SADC!L39-L39,0)</f>
        <v>0</v>
      </c>
      <c r="N39" s="182">
        <f>+IF(L39+[1]SADC!L39-[1]SADC!K39-K39&gt;0,L39+[1]SADC!L39-[1]SADC!K39-K39,0)</f>
        <v>0</v>
      </c>
      <c r="O39" s="182">
        <f>+IF(M39+[1]SADC!M39-[1]SADC!N39-N39&gt;0,M39+[1]SADC!M39-[1]SADC!N39-N39,0)</f>
        <v>0</v>
      </c>
      <c r="P39" s="182">
        <f>+IF(N39+[1]SADC!N39-[1]SADC!M39-M39&gt;0,N39+[1]SADC!N39-[1]SADC!M39-M39,0)</f>
        <v>0</v>
      </c>
      <c r="Q39" s="182">
        <f>+IF(O39+[1]SADC!O39-[1]SADC!P39-P39&gt;0,O39+[1]SADC!O39-[1]SADC!P39-P39,0)</f>
        <v>0</v>
      </c>
      <c r="R39" s="182">
        <f>+IF(P39+[1]SADC!P39-[1]SADC!O39-O39&gt;0,P39+[1]SADC!P39-[1]SADC!O39-O39,0)</f>
        <v>0</v>
      </c>
      <c r="S39" s="182">
        <f>+IF(Q39+[1]SADC!Q39-[1]SADC!R39-R39&gt;0,Q39+[1]SADC!Q39-[1]SADC!R39-R39,0)</f>
        <v>0</v>
      </c>
      <c r="T39" s="182">
        <f>+IF(R39+[1]SADC!R39-[1]SADC!Q39-Q39&gt;0,R39+[1]SADC!R39-[1]SADC!Q39-Q39,0)</f>
        <v>0</v>
      </c>
      <c r="U39" s="182">
        <f>+IF(S39+[1]SADC!S39-[1]SADC!T39-T39&gt;0,S39+[1]SADC!S39-[1]SADC!T39-T39,0)</f>
        <v>0</v>
      </c>
      <c r="V39" s="182">
        <f>+IF(T39+[1]SADC!T39-[1]SADC!S39-S39&gt;0,T39+[1]SADC!T39-[1]SADC!S39-S39,0)</f>
        <v>0</v>
      </c>
      <c r="W39" s="182">
        <f>+IF(U39+[1]SADC!U39-[1]SADC!V39-V39&gt;0,U39+[1]SADC!U39-[1]SADC!V39-V39,0)</f>
        <v>0</v>
      </c>
      <c r="X39" s="182">
        <f>+IF(V39+[1]SADC!V39-[1]SADC!U39-U39&gt;0,V39+[1]SADC!V39-[1]SADC!U39-U39,0)</f>
        <v>0</v>
      </c>
      <c r="Y39" s="182">
        <f>+IF(W39+[1]SADC!W39-[1]SADC!X39-X39&gt;0,W39+[1]SADC!W39-[1]SADC!X39-X39,0)</f>
        <v>0</v>
      </c>
      <c r="Z39" s="182">
        <f>+IF(X39+[1]SADC!X39-[1]SADC!W39-W39&gt;0,X39+[1]SADC!X39-[1]SADC!W39-W39,0)</f>
        <v>0</v>
      </c>
      <c r="AA39" s="182">
        <f>+IF(Y39+[1]SADC!Y39-[1]SADC!Z39-Z39&gt;0,Y39+[1]SADC!Y39-[1]SADC!Z39-Z39,0)</f>
        <v>0</v>
      </c>
      <c r="AB39" s="182">
        <f>+IF(Z39+[1]SADC!Z39-[1]SADC!Y39-Y39&gt;0,Z39+[1]SADC!Z39-[1]SADC!Y39-Y39,0)</f>
        <v>0</v>
      </c>
      <c r="AC39" s="181"/>
      <c r="AD39" s="182">
        <f t="shared" si="0"/>
        <v>0</v>
      </c>
      <c r="AE39" s="182">
        <f t="shared" si="0"/>
        <v>0</v>
      </c>
      <c r="AF39" s="181"/>
    </row>
    <row r="40" spans="1:32">
      <c r="A40" s="181" t="str">
        <f>+VLOOKUP(B40,'[1]coa-mgb'!A$1:B$65536,2,0)</f>
        <v>Office Equipment</v>
      </c>
      <c r="B40" s="184" t="s">
        <v>42</v>
      </c>
      <c r="C40" s="182">
        <f>+SUMIFS('[1]10605020 00'!$F$1:$F$65536,'[1]10605020 00'!$D$1:$D$65536,"Beginning Balance",'[1]10605020 00'!$D$1:$D$65536,"Beginning Balance")</f>
        <v>1267376</v>
      </c>
      <c r="D40" s="182">
        <f>+SUMIFS('[1]10605020 00'!$H$1:$H$65536,'[1]10605020 00'!$D$1:$D$65536,"Beginning Balance",'[1]10605020 00'!$D$1:$D$65536,"Beginning Balance")</f>
        <v>0</v>
      </c>
      <c r="E40" s="182">
        <f>+IF(C40+[1]SADC!C40-[1]SADC!D40-D40&gt;0,C40+[1]SADC!C40-[1]SADC!D40-D40,0)</f>
        <v>1267376</v>
      </c>
      <c r="F40" s="182">
        <f>+IF(D40+[1]SADC!D40-[1]SADC!C40-C40&gt;0,D40+[1]SADC!D40-[1]SADC!C40-C40,0)</f>
        <v>0</v>
      </c>
      <c r="G40" s="182">
        <f>+IF(E40+[1]SADC!E40-[1]SADC!F40-F40&gt;0,E40+[1]SADC!E40-[1]SADC!F40-F40,0)</f>
        <v>1267376</v>
      </c>
      <c r="H40" s="182">
        <f>+IF(F40+[1]SADC!F40-[1]SADC!E40-E40&gt;0,F40+[1]SADC!F40-[1]SADC!E40-E40,0)</f>
        <v>0</v>
      </c>
      <c r="I40" s="182">
        <f>+IF(G40+[1]SADC!G40-[1]SADC!H40-H40&gt;0,G40+[1]SADC!G40-[1]SADC!H40-H40,0)</f>
        <v>1267376</v>
      </c>
      <c r="J40" s="182">
        <f>+IF(H40+[1]SADC!H40-[1]SADC!G40-G40&gt;0,H40+[1]SADC!H40-[1]SADC!G40-G40,0)</f>
        <v>0</v>
      </c>
      <c r="K40" s="182">
        <f>+IF(I40+[1]SADC!I40-[1]SADC!J40-J40&gt;0,I40+[1]SADC!I40-[1]SADC!J40-J40,0)</f>
        <v>1267376</v>
      </c>
      <c r="L40" s="182">
        <f>+IF(J40+[1]SADC!J40-[1]SADC!I40-I40&gt;0,J40+[1]SADC!J40-[1]SADC!I40-I40,0)</f>
        <v>0</v>
      </c>
      <c r="M40" s="182">
        <f>+IF(K40+[1]SADC!K40-[1]SADC!L40-L40&gt;0,K40+[1]SADC!K40-[1]SADC!L40-L40,0)</f>
        <v>1267376</v>
      </c>
      <c r="N40" s="182">
        <f>+IF(L40+[1]SADC!L40-[1]SADC!K40-K40&gt;0,L40+[1]SADC!L40-[1]SADC!K40-K40,0)</f>
        <v>0</v>
      </c>
      <c r="O40" s="182">
        <f>+IF(M40+[1]SADC!M40-[1]SADC!N40-N40&gt;0,M40+[1]SADC!M40-[1]SADC!N40-N40,0)</f>
        <v>1267376</v>
      </c>
      <c r="P40" s="182">
        <f>+IF(N40+[1]SADC!N40-[1]SADC!M40-M40&gt;0,N40+[1]SADC!N40-[1]SADC!M40-M40,0)</f>
        <v>0</v>
      </c>
      <c r="Q40" s="182">
        <f>+IF(O40+[1]SADC!O40-[1]SADC!P40-P40&gt;0,O40+[1]SADC!O40-[1]SADC!P40-P40,0)</f>
        <v>1267376</v>
      </c>
      <c r="R40" s="182">
        <f>+IF(P40+[1]SADC!P40-[1]SADC!O40-O40&gt;0,P40+[1]SADC!P40-[1]SADC!O40-O40,0)</f>
        <v>0</v>
      </c>
      <c r="S40" s="182">
        <f>+IF(Q40+[1]SADC!Q40-[1]SADC!R40-R40&gt;0,Q40+[1]SADC!Q40-[1]SADC!R40-R40,0)</f>
        <v>1267376</v>
      </c>
      <c r="T40" s="182">
        <f>+IF(R40+[1]SADC!R40-[1]SADC!Q40-Q40&gt;0,R40+[1]SADC!R40-[1]SADC!Q40-Q40,0)</f>
        <v>0</v>
      </c>
      <c r="U40" s="182">
        <f>+IF(S40+[1]SADC!S40-[1]SADC!T40-T40&gt;0,S40+[1]SADC!S40-[1]SADC!T40-T40,0)</f>
        <v>1267376</v>
      </c>
      <c r="V40" s="182">
        <f>+IF(T40+[1]SADC!T40-[1]SADC!S40-S40&gt;0,T40+[1]SADC!T40-[1]SADC!S40-S40,0)</f>
        <v>0</v>
      </c>
      <c r="W40" s="182">
        <f>+IF(U40+[1]SADC!U40-[1]SADC!V40-V40&gt;0,U40+[1]SADC!U40-[1]SADC!V40-V40,0)</f>
        <v>1267376</v>
      </c>
      <c r="X40" s="182">
        <f>+IF(V40+[1]SADC!V40-[1]SADC!U40-U40&gt;0,V40+[1]SADC!V40-[1]SADC!U40-U40,0)</f>
        <v>0</v>
      </c>
      <c r="Y40" s="182">
        <f>+IF(W40+[1]SADC!W40-[1]SADC!X40-X40&gt;0,W40+[1]SADC!W40-[1]SADC!X40-X40,0)</f>
        <v>1267376</v>
      </c>
      <c r="Z40" s="182">
        <f>+IF(X40+[1]SADC!X40-[1]SADC!W40-W40&gt;0,X40+[1]SADC!X40-[1]SADC!W40-W40,0)</f>
        <v>0</v>
      </c>
      <c r="AA40" s="182">
        <f>+IF(Y40+[1]SADC!Y40-[1]SADC!Z40-Z40&gt;0,Y40+[1]SADC!Y40-[1]SADC!Z40-Z40,0)</f>
        <v>1267376</v>
      </c>
      <c r="AB40" s="182">
        <f>+IF(Z40+[1]SADC!Z40-[1]SADC!Y40-Y40&gt;0,Z40+[1]SADC!Z40-[1]SADC!Y40-Y40,0)</f>
        <v>0</v>
      </c>
      <c r="AC40" s="181"/>
      <c r="AD40" s="182">
        <f t="shared" si="0"/>
        <v>1267376</v>
      </c>
      <c r="AE40" s="182">
        <f t="shared" si="0"/>
        <v>0</v>
      </c>
      <c r="AF40" s="181"/>
    </row>
    <row r="41" spans="1:32">
      <c r="A41" s="181" t="str">
        <f>+VLOOKUP(B41,'[1]coa-mgb'!A$1:B$65536,2,0)</f>
        <v>Accumulated Depreciation - Office Equipment</v>
      </c>
      <c r="B41" s="184" t="s">
        <v>43</v>
      </c>
      <c r="C41" s="182">
        <f>+SUMIFS('[1]10605021 00'!$F$1:$F$65536,'[1]10605021 00'!$D$1:$D$65536,"Beginning Balance",'[1]10605021 00'!$D$1:$D$65536,"Beginning Balance")</f>
        <v>0</v>
      </c>
      <c r="D41" s="182">
        <f>+SUMIFS('[1]10605021 00'!$H$1:$H$65536,'[1]10605021 00'!$D$1:$D$65536,"Beginning Balance",'[1]10605021 00'!$D$1:$D$65536,"Beginning Balance")</f>
        <v>942978.23</v>
      </c>
      <c r="E41" s="182">
        <f>+IF(C41+[1]SADC!C41-[1]SADC!D41-D41&gt;0,C41+[1]SADC!C41-[1]SADC!D41-D41,0)</f>
        <v>0</v>
      </c>
      <c r="F41" s="182">
        <f>+IF(D41+[1]SADC!D41-[1]SADC!C41-C41&gt;0,D41+[1]SADC!D41-[1]SADC!C41-C41,0)</f>
        <v>948903.30999999994</v>
      </c>
      <c r="G41" s="182">
        <f>+IF(E41+[1]SADC!E41-[1]SADC!F41-F41&gt;0,E41+[1]SADC!E41-[1]SADC!F41-F41,0)</f>
        <v>0</v>
      </c>
      <c r="H41" s="182">
        <f>+IF(F41+[1]SADC!F41-[1]SADC!E41-E41&gt;0,F41+[1]SADC!F41-[1]SADC!E41-E41,0)</f>
        <v>954828.37999999989</v>
      </c>
      <c r="I41" s="182">
        <f>+IF(G41+[1]SADC!G41-[1]SADC!H41-H41&gt;0,G41+[1]SADC!G41-[1]SADC!H41-H41,0)</f>
        <v>0</v>
      </c>
      <c r="J41" s="182">
        <f>+IF(H41+[1]SADC!H41-[1]SADC!G41-G41&gt;0,H41+[1]SADC!H41-[1]SADC!G41-G41,0)</f>
        <v>960753.45999999985</v>
      </c>
      <c r="K41" s="182">
        <f>+IF(I41+[1]SADC!I41-[1]SADC!J41-J41&gt;0,I41+[1]SADC!I41-[1]SADC!J41-J41,0)</f>
        <v>0</v>
      </c>
      <c r="L41" s="182">
        <f>+IF(J41+[1]SADC!J41-[1]SADC!I41-I41&gt;0,J41+[1]SADC!J41-[1]SADC!I41-I41,0)</f>
        <v>960753.45999999985</v>
      </c>
      <c r="M41" s="182">
        <f>+IF(K41+[1]SADC!K41-[1]SADC!L41-L41&gt;0,K41+[1]SADC!K41-[1]SADC!L41-L41,0)</f>
        <v>0</v>
      </c>
      <c r="N41" s="182">
        <f>+IF(L41+[1]SADC!L41-[1]SADC!K41-K41&gt;0,L41+[1]SADC!L41-[1]SADC!K41-K41,0)</f>
        <v>960753.45999999985</v>
      </c>
      <c r="O41" s="182">
        <f>+IF(M41+[1]SADC!M41-[1]SADC!N41-N41&gt;0,M41+[1]SADC!M41-[1]SADC!N41-N41,0)</f>
        <v>0</v>
      </c>
      <c r="P41" s="182">
        <f>+IF(N41+[1]SADC!N41-[1]SADC!M41-M41&gt;0,N41+[1]SADC!N41-[1]SADC!M41-M41,0)</f>
        <v>960753.45999999985</v>
      </c>
      <c r="Q41" s="182">
        <f>+IF(O41+[1]SADC!O41-[1]SADC!P41-P41&gt;0,O41+[1]SADC!O41-[1]SADC!P41-P41,0)</f>
        <v>0</v>
      </c>
      <c r="R41" s="182">
        <f>+IF(P41+[1]SADC!P41-[1]SADC!O41-O41&gt;0,P41+[1]SADC!P41-[1]SADC!O41-O41,0)</f>
        <v>960753.45999999985</v>
      </c>
      <c r="S41" s="182">
        <f>+IF(Q41+[1]SADC!Q41-[1]SADC!R41-R41&gt;0,Q41+[1]SADC!Q41-[1]SADC!R41-R41,0)</f>
        <v>0</v>
      </c>
      <c r="T41" s="182">
        <f>+IF(R41+[1]SADC!R41-[1]SADC!Q41-Q41&gt;0,R41+[1]SADC!R41-[1]SADC!Q41-Q41,0)</f>
        <v>960753.45999999985</v>
      </c>
      <c r="U41" s="182">
        <f>+IF(S41+[1]SADC!S41-[1]SADC!T41-T41&gt;0,S41+[1]SADC!S41-[1]SADC!T41-T41,0)</f>
        <v>0</v>
      </c>
      <c r="V41" s="182">
        <f>+IF(T41+[1]SADC!T41-[1]SADC!S41-S41&gt;0,T41+[1]SADC!T41-[1]SADC!S41-S41,0)</f>
        <v>960753.45999999985</v>
      </c>
      <c r="W41" s="182">
        <f>+IF(U41+[1]SADC!U41-[1]SADC!V41-V41&gt;0,U41+[1]SADC!U41-[1]SADC!V41-V41,0)</f>
        <v>0</v>
      </c>
      <c r="X41" s="182">
        <f>+IF(V41+[1]SADC!V41-[1]SADC!U41-U41&gt;0,V41+[1]SADC!V41-[1]SADC!U41-U41,0)</f>
        <v>960753.45999999985</v>
      </c>
      <c r="Y41" s="182">
        <f>+IF(W41+[1]SADC!W41-[1]SADC!X41-X41&gt;0,W41+[1]SADC!W41-[1]SADC!X41-X41,0)</f>
        <v>0</v>
      </c>
      <c r="Z41" s="182">
        <f>+IF(X41+[1]SADC!X41-[1]SADC!W41-W41&gt;0,X41+[1]SADC!X41-[1]SADC!W41-W41,0)</f>
        <v>960753.45999999985</v>
      </c>
      <c r="AA41" s="182">
        <f>+IF(Y41+[1]SADC!Y41-[1]SADC!Z41-Z41&gt;0,Y41+[1]SADC!Y41-[1]SADC!Z41-Z41,0)</f>
        <v>0</v>
      </c>
      <c r="AB41" s="182">
        <f>+IF(Z41+[1]SADC!Z41-[1]SADC!Y41-Y41&gt;0,Z41+[1]SADC!Z41-[1]SADC!Y41-Y41,0)</f>
        <v>960753.45999999985</v>
      </c>
      <c r="AC41" s="181"/>
      <c r="AD41" s="182">
        <f t="shared" si="0"/>
        <v>0</v>
      </c>
      <c r="AE41" s="182">
        <f t="shared" si="0"/>
        <v>960753.45999999985</v>
      </c>
      <c r="AF41" s="181"/>
    </row>
    <row r="42" spans="1:32">
      <c r="A42" s="181" t="str">
        <f>+VLOOKUP(B42,'[1]coa-mgb'!A$1:B$65536,2,0)</f>
        <v xml:space="preserve">Information and Communication Technology  Equipment </v>
      </c>
      <c r="B42" s="184" t="s">
        <v>44</v>
      </c>
      <c r="C42" s="182">
        <f>+SUMIFS('[1]10605030 00'!$F$1:$F$65536,'[1]10605030 00'!$D$1:$D$65536,"Beginning Balance",'[1]10605030 00'!$D$1:$D$65536,"Beginning Balance")</f>
        <v>5320523.72</v>
      </c>
      <c r="D42" s="182">
        <f>+SUMIFS('[1]10605030 00'!$H$1:$H$65536,'[1]10605030 00'!$D$1:$D$65536,"Beginning Balance",'[1]10605030 00'!$D$1:$D$65536,"Beginning Balance")</f>
        <v>0</v>
      </c>
      <c r="E42" s="182">
        <f>+IF(C42+[1]SADC!C42-[1]SADC!D42-D42&gt;0,C42+[1]SADC!C42-[1]SADC!D42-D42,0)</f>
        <v>5320523.72</v>
      </c>
      <c r="F42" s="182">
        <f>+IF(D42+[1]SADC!D42-[1]SADC!C42-C42&gt;0,D42+[1]SADC!D42-[1]SADC!C42-C42,0)</f>
        <v>0</v>
      </c>
      <c r="G42" s="182">
        <f>+IF(E42+[1]SADC!E42-[1]SADC!F42-F42&gt;0,E42+[1]SADC!E42-[1]SADC!F42-F42,0)</f>
        <v>5320523.72</v>
      </c>
      <c r="H42" s="182">
        <f>+IF(F42+[1]SADC!F42-[1]SADC!E42-E42&gt;0,F42+[1]SADC!F42-[1]SADC!E42-E42,0)</f>
        <v>0</v>
      </c>
      <c r="I42" s="182">
        <f>+IF(G42+[1]SADC!G42-[1]SADC!H42-H42&gt;0,G42+[1]SADC!G42-[1]SADC!H42-H42,0)</f>
        <v>5320523.72</v>
      </c>
      <c r="J42" s="182">
        <f>+IF(H42+[1]SADC!H42-[1]SADC!G42-G42&gt;0,H42+[1]SADC!H42-[1]SADC!G42-G42,0)</f>
        <v>0</v>
      </c>
      <c r="K42" s="182">
        <f>+IF(I42+[1]SADC!I42-[1]SADC!J42-J42&gt;0,I42+[1]SADC!I42-[1]SADC!J42-J42,0)</f>
        <v>5320523.72</v>
      </c>
      <c r="L42" s="182">
        <f>+IF(J42+[1]SADC!J42-[1]SADC!I42-I42&gt;0,J42+[1]SADC!J42-[1]SADC!I42-I42,0)</f>
        <v>0</v>
      </c>
      <c r="M42" s="182">
        <f>+IF(K42+[1]SADC!K42-[1]SADC!L42-L42&gt;0,K42+[1]SADC!K42-[1]SADC!L42-L42,0)</f>
        <v>5320523.72</v>
      </c>
      <c r="N42" s="182">
        <f>+IF(L42+[1]SADC!L42-[1]SADC!K42-K42&gt;0,L42+[1]SADC!L42-[1]SADC!K42-K42,0)</f>
        <v>0</v>
      </c>
      <c r="O42" s="182">
        <f>+IF(M42+[1]SADC!M42-[1]SADC!N42-N42&gt;0,M42+[1]SADC!M42-[1]SADC!N42-N42,0)</f>
        <v>5320523.72</v>
      </c>
      <c r="P42" s="182">
        <f>+IF(N42+[1]SADC!N42-[1]SADC!M42-M42&gt;0,N42+[1]SADC!N42-[1]SADC!M42-M42,0)</f>
        <v>0</v>
      </c>
      <c r="Q42" s="182">
        <f>+IF(O42+[1]SADC!O42-[1]SADC!P42-P42&gt;0,O42+[1]SADC!O42-[1]SADC!P42-P42,0)</f>
        <v>5320523.72</v>
      </c>
      <c r="R42" s="182">
        <f>+IF(P42+[1]SADC!P42-[1]SADC!O42-O42&gt;0,P42+[1]SADC!P42-[1]SADC!O42-O42,0)</f>
        <v>0</v>
      </c>
      <c r="S42" s="182">
        <f>+IF(Q42+[1]SADC!Q42-[1]SADC!R42-R42&gt;0,Q42+[1]SADC!Q42-[1]SADC!R42-R42,0)</f>
        <v>5320523.72</v>
      </c>
      <c r="T42" s="182">
        <f>+IF(R42+[1]SADC!R42-[1]SADC!Q42-Q42&gt;0,R42+[1]SADC!R42-[1]SADC!Q42-Q42,0)</f>
        <v>0</v>
      </c>
      <c r="U42" s="182">
        <f>+IF(S42+[1]SADC!S42-[1]SADC!T42-T42&gt;0,S42+[1]SADC!S42-[1]SADC!T42-T42,0)</f>
        <v>5320523.72</v>
      </c>
      <c r="V42" s="182">
        <f>+IF(T42+[1]SADC!T42-[1]SADC!S42-S42&gt;0,T42+[1]SADC!T42-[1]SADC!S42-S42,0)</f>
        <v>0</v>
      </c>
      <c r="W42" s="182">
        <f>+IF(U42+[1]SADC!U42-[1]SADC!V42-V42&gt;0,U42+[1]SADC!U42-[1]SADC!V42-V42,0)</f>
        <v>5320523.72</v>
      </c>
      <c r="X42" s="182">
        <f>+IF(V42+[1]SADC!V42-[1]SADC!U42-U42&gt;0,V42+[1]SADC!V42-[1]SADC!U42-U42,0)</f>
        <v>0</v>
      </c>
      <c r="Y42" s="182">
        <f>+IF(W42+[1]SADC!W42-[1]SADC!X42-X42&gt;0,W42+[1]SADC!W42-[1]SADC!X42-X42,0)</f>
        <v>5320523.72</v>
      </c>
      <c r="Z42" s="182">
        <f>+IF(X42+[1]SADC!X42-[1]SADC!W42-W42&gt;0,X42+[1]SADC!X42-[1]SADC!W42-W42,0)</f>
        <v>0</v>
      </c>
      <c r="AA42" s="182">
        <f>+IF(Y42+[1]SADC!Y42-[1]SADC!Z42-Z42&gt;0,Y42+[1]SADC!Y42-[1]SADC!Z42-Z42,0)</f>
        <v>5320523.72</v>
      </c>
      <c r="AB42" s="182">
        <f>+IF(Z42+[1]SADC!Z42-[1]SADC!Y42-Y42&gt;0,Z42+[1]SADC!Z42-[1]SADC!Y42-Y42,0)</f>
        <v>0</v>
      </c>
      <c r="AC42" s="181"/>
      <c r="AD42" s="182">
        <f t="shared" si="0"/>
        <v>5320523.72</v>
      </c>
      <c r="AE42" s="182">
        <f t="shared" si="0"/>
        <v>0</v>
      </c>
      <c r="AF42" s="181"/>
    </row>
    <row r="43" spans="1:32">
      <c r="A43" s="181" t="str">
        <f>+VLOOKUP(B43,'[1]coa-mgb'!A$1:B$65536,2,0)</f>
        <v>Accumulated Depreciation - IT Equipment &amp; Software</v>
      </c>
      <c r="B43" s="184" t="s">
        <v>45</v>
      </c>
      <c r="C43" s="182">
        <f>+SUMIFS('[1]10605031 00'!$F$1:$F$65536,'[1]10605031 00'!$D$1:$D$65536,"Beginning Balance",'[1]10605031 00'!$D$1:$D$65536,"Beginning Balance")</f>
        <v>0</v>
      </c>
      <c r="D43" s="182">
        <f>+SUMIFS('[1]10605031 00'!$H$1:$H$65536,'[1]10605031 00'!$D$1:$D$65536,"Beginning Balance",'[1]10605031 00'!$D$1:$D$65536,"Beginning Balance")</f>
        <v>4075951.4</v>
      </c>
      <c r="E43" s="182">
        <f>+IF(C43+[1]SADC!C43-[1]SADC!D43-D43&gt;0,C43+[1]SADC!C43-[1]SADC!D43-D43,0)</f>
        <v>0</v>
      </c>
      <c r="F43" s="182">
        <f>+IF(D43+[1]SADC!D43-[1]SADC!C43-C43&gt;0,D43+[1]SADC!D43-[1]SADC!C43-C43,0)</f>
        <v>4100202.84</v>
      </c>
      <c r="G43" s="182">
        <f>+IF(E43+[1]SADC!E43-[1]SADC!F43-F43&gt;0,E43+[1]SADC!E43-[1]SADC!F43-F43,0)</f>
        <v>0</v>
      </c>
      <c r="H43" s="182">
        <f>+IF(F43+[1]SADC!F43-[1]SADC!E43-E43&gt;0,F43+[1]SADC!F43-[1]SADC!E43-E43,0)</f>
        <v>4124453.86</v>
      </c>
      <c r="I43" s="182">
        <f>+IF(G43+[1]SADC!G43-[1]SADC!H43-H43&gt;0,G43+[1]SADC!G43-[1]SADC!H43-H43,0)</f>
        <v>0</v>
      </c>
      <c r="J43" s="182">
        <f>+IF(H43+[1]SADC!H43-[1]SADC!G43-G43&gt;0,H43+[1]SADC!H43-[1]SADC!G43-G43,0)</f>
        <v>4148705.3</v>
      </c>
      <c r="K43" s="182">
        <f>+IF(I43+[1]SADC!I43-[1]SADC!J43-J43&gt;0,I43+[1]SADC!I43-[1]SADC!J43-J43,0)</f>
        <v>0</v>
      </c>
      <c r="L43" s="182">
        <f>+IF(J43+[1]SADC!J43-[1]SADC!I43-I43&gt;0,J43+[1]SADC!J43-[1]SADC!I43-I43,0)</f>
        <v>4148705.3</v>
      </c>
      <c r="M43" s="182">
        <f>+IF(K43+[1]SADC!K43-[1]SADC!L43-L43&gt;0,K43+[1]SADC!K43-[1]SADC!L43-L43,0)</f>
        <v>0</v>
      </c>
      <c r="N43" s="182">
        <f>+IF(L43+[1]SADC!L43-[1]SADC!K43-K43&gt;0,L43+[1]SADC!L43-[1]SADC!K43-K43,0)</f>
        <v>4148705.3</v>
      </c>
      <c r="O43" s="182">
        <f>+IF(M43+[1]SADC!M43-[1]SADC!N43-N43&gt;0,M43+[1]SADC!M43-[1]SADC!N43-N43,0)</f>
        <v>0</v>
      </c>
      <c r="P43" s="182">
        <f>+IF(N43+[1]SADC!N43-[1]SADC!M43-M43&gt;0,N43+[1]SADC!N43-[1]SADC!M43-M43,0)</f>
        <v>4148705.3</v>
      </c>
      <c r="Q43" s="182">
        <f>+IF(O43+[1]SADC!O43-[1]SADC!P43-P43&gt;0,O43+[1]SADC!O43-[1]SADC!P43-P43,0)</f>
        <v>0</v>
      </c>
      <c r="R43" s="182">
        <f>+IF(P43+[1]SADC!P43-[1]SADC!O43-O43&gt;0,P43+[1]SADC!P43-[1]SADC!O43-O43,0)</f>
        <v>4148705.3</v>
      </c>
      <c r="S43" s="182">
        <f>+IF(Q43+[1]SADC!Q43-[1]SADC!R43-R43&gt;0,Q43+[1]SADC!Q43-[1]SADC!R43-R43,0)</f>
        <v>0</v>
      </c>
      <c r="T43" s="182">
        <f>+IF(R43+[1]SADC!R43-[1]SADC!Q43-Q43&gt;0,R43+[1]SADC!R43-[1]SADC!Q43-Q43,0)</f>
        <v>4148705.3</v>
      </c>
      <c r="U43" s="182">
        <f>+IF(S43+[1]SADC!S43-[1]SADC!T43-T43&gt;0,S43+[1]SADC!S43-[1]SADC!T43-T43,0)</f>
        <v>0</v>
      </c>
      <c r="V43" s="182">
        <f>+IF(T43+[1]SADC!T43-[1]SADC!S43-S43&gt;0,T43+[1]SADC!T43-[1]SADC!S43-S43,0)</f>
        <v>4148705.3</v>
      </c>
      <c r="W43" s="182">
        <f>+IF(U43+[1]SADC!U43-[1]SADC!V43-V43&gt;0,U43+[1]SADC!U43-[1]SADC!V43-V43,0)</f>
        <v>0</v>
      </c>
      <c r="X43" s="182">
        <f>+IF(V43+[1]SADC!V43-[1]SADC!U43-U43&gt;0,V43+[1]SADC!V43-[1]SADC!U43-U43,0)</f>
        <v>4148705.3</v>
      </c>
      <c r="Y43" s="182">
        <f>+IF(W43+[1]SADC!W43-[1]SADC!X43-X43&gt;0,W43+[1]SADC!W43-[1]SADC!X43-X43,0)</f>
        <v>0</v>
      </c>
      <c r="Z43" s="182">
        <f>+IF(X43+[1]SADC!X43-[1]SADC!W43-W43&gt;0,X43+[1]SADC!X43-[1]SADC!W43-W43,0)</f>
        <v>4148705.3</v>
      </c>
      <c r="AA43" s="182">
        <f>+IF(Y43+[1]SADC!Y43-[1]SADC!Z43-Z43&gt;0,Y43+[1]SADC!Y43-[1]SADC!Z43-Z43,0)</f>
        <v>0</v>
      </c>
      <c r="AB43" s="182">
        <f>+IF(Z43+[1]SADC!Z43-[1]SADC!Y43-Y43&gt;0,Z43+[1]SADC!Z43-[1]SADC!Y43-Y43,0)</f>
        <v>4148705.3</v>
      </c>
      <c r="AC43" s="181"/>
      <c r="AD43" s="182">
        <f t="shared" si="0"/>
        <v>0</v>
      </c>
      <c r="AE43" s="182">
        <f t="shared" si="0"/>
        <v>4148705.3</v>
      </c>
      <c r="AF43" s="181"/>
    </row>
    <row r="44" spans="1:32">
      <c r="A44" s="181" t="str">
        <f>+VLOOKUP(B44,'[1]coa-mgb'!A$1:B$65536,2,0)</f>
        <v>Communication Equipment</v>
      </c>
      <c r="B44" s="184" t="s">
        <v>46</v>
      </c>
      <c r="C44" s="182">
        <f>+SUMIFS('[1]10605070 00'!$F$1:$F$65536,'[1]10605070 00'!$D$1:$D$65536,"Beginning Balance",'[1]10605070 00'!$D$1:$D$65536,"Beginning Balance")</f>
        <v>58765</v>
      </c>
      <c r="D44" s="182">
        <f>+SUMIFS('[1]10605070 00'!$H$1:$H$65536,'[1]10605070 00'!$D$1:$D$65536,"Beginning Balance",'[1]10605070 00'!$D$1:$D$65536,"Beginning Balance")</f>
        <v>0</v>
      </c>
      <c r="E44" s="182">
        <f>+IF(C44+[1]SADC!C44-[1]SADC!D44-D44&gt;0,C44+[1]SADC!C44-[1]SADC!D44-D44,0)</f>
        <v>58765</v>
      </c>
      <c r="F44" s="182">
        <f>+IF(D44+[1]SADC!D44-[1]SADC!C44-C44&gt;0,D44+[1]SADC!D44-[1]SADC!C44-C44,0)</f>
        <v>0</v>
      </c>
      <c r="G44" s="182">
        <f>+IF(E44+[1]SADC!E44-[1]SADC!F44-F44&gt;0,E44+[1]SADC!E44-[1]SADC!F44-F44,0)</f>
        <v>58765</v>
      </c>
      <c r="H44" s="182">
        <f>+IF(F44+[1]SADC!F44-[1]SADC!E44-E44&gt;0,F44+[1]SADC!F44-[1]SADC!E44-E44,0)</f>
        <v>0</v>
      </c>
      <c r="I44" s="182">
        <f>+IF(G44+[1]SADC!G44-[1]SADC!H44-H44&gt;0,G44+[1]SADC!G44-[1]SADC!H44-H44,0)</f>
        <v>58765</v>
      </c>
      <c r="J44" s="182">
        <f>+IF(H44+[1]SADC!H44-[1]SADC!G44-G44&gt;0,H44+[1]SADC!H44-[1]SADC!G44-G44,0)</f>
        <v>0</v>
      </c>
      <c r="K44" s="182">
        <f>+IF(I44+[1]SADC!I44-[1]SADC!J44-J44&gt;0,I44+[1]SADC!I44-[1]SADC!J44-J44,0)</f>
        <v>58765</v>
      </c>
      <c r="L44" s="182">
        <f>+IF(J44+[1]SADC!J44-[1]SADC!I44-I44&gt;0,J44+[1]SADC!J44-[1]SADC!I44-I44,0)</f>
        <v>0</v>
      </c>
      <c r="M44" s="182">
        <f>+IF(K44+[1]SADC!K44-[1]SADC!L44-L44&gt;0,K44+[1]SADC!K44-[1]SADC!L44-L44,0)</f>
        <v>58765</v>
      </c>
      <c r="N44" s="182">
        <f>+IF(L44+[1]SADC!L44-[1]SADC!K44-K44&gt;0,L44+[1]SADC!L44-[1]SADC!K44-K44,0)</f>
        <v>0</v>
      </c>
      <c r="O44" s="182">
        <f>+IF(M44+[1]SADC!M44-[1]SADC!N44-N44&gt;0,M44+[1]SADC!M44-[1]SADC!N44-N44,0)</f>
        <v>58765</v>
      </c>
      <c r="P44" s="182">
        <f>+IF(N44+[1]SADC!N44-[1]SADC!M44-M44&gt;0,N44+[1]SADC!N44-[1]SADC!M44-M44,0)</f>
        <v>0</v>
      </c>
      <c r="Q44" s="182">
        <f>+IF(O44+[1]SADC!O44-[1]SADC!P44-P44&gt;0,O44+[1]SADC!O44-[1]SADC!P44-P44,0)</f>
        <v>58765</v>
      </c>
      <c r="R44" s="182">
        <f>+IF(P44+[1]SADC!P44-[1]SADC!O44-O44&gt;0,P44+[1]SADC!P44-[1]SADC!O44-O44,0)</f>
        <v>0</v>
      </c>
      <c r="S44" s="182">
        <f>+IF(Q44+[1]SADC!Q44-[1]SADC!R44-R44&gt;0,Q44+[1]SADC!Q44-[1]SADC!R44-R44,0)</f>
        <v>58765</v>
      </c>
      <c r="T44" s="182">
        <f>+IF(R44+[1]SADC!R44-[1]SADC!Q44-Q44&gt;0,R44+[1]SADC!R44-[1]SADC!Q44-Q44,0)</f>
        <v>0</v>
      </c>
      <c r="U44" s="182">
        <f>+IF(S44+[1]SADC!S44-[1]SADC!T44-T44&gt;0,S44+[1]SADC!S44-[1]SADC!T44-T44,0)</f>
        <v>58765</v>
      </c>
      <c r="V44" s="182">
        <f>+IF(T44+[1]SADC!T44-[1]SADC!S44-S44&gt;0,T44+[1]SADC!T44-[1]SADC!S44-S44,0)</f>
        <v>0</v>
      </c>
      <c r="W44" s="182">
        <f>+IF(U44+[1]SADC!U44-[1]SADC!V44-V44&gt;0,U44+[1]SADC!U44-[1]SADC!V44-V44,0)</f>
        <v>58765</v>
      </c>
      <c r="X44" s="182">
        <f>+IF(V44+[1]SADC!V44-[1]SADC!U44-U44&gt;0,V44+[1]SADC!V44-[1]SADC!U44-U44,0)</f>
        <v>0</v>
      </c>
      <c r="Y44" s="182">
        <f>+IF(W44+[1]SADC!W44-[1]SADC!X44-X44&gt;0,W44+[1]SADC!W44-[1]SADC!X44-X44,0)</f>
        <v>58765</v>
      </c>
      <c r="Z44" s="182">
        <f>+IF(X44+[1]SADC!X44-[1]SADC!W44-W44&gt;0,X44+[1]SADC!X44-[1]SADC!W44-W44,0)</f>
        <v>0</v>
      </c>
      <c r="AA44" s="182">
        <f>+IF(Y44+[1]SADC!Y44-[1]SADC!Z44-Z44&gt;0,Y44+[1]SADC!Y44-[1]SADC!Z44-Z44,0)</f>
        <v>58765</v>
      </c>
      <c r="AB44" s="182">
        <f>+IF(Z44+[1]SADC!Z44-[1]SADC!Y44-Y44&gt;0,Z44+[1]SADC!Z44-[1]SADC!Y44-Y44,0)</f>
        <v>0</v>
      </c>
      <c r="AC44" s="181"/>
      <c r="AD44" s="182">
        <f t="shared" si="0"/>
        <v>58765</v>
      </c>
      <c r="AE44" s="182">
        <f t="shared" si="0"/>
        <v>0</v>
      </c>
      <c r="AF44" s="181"/>
    </row>
    <row r="45" spans="1:32">
      <c r="A45" s="181" t="str">
        <f>+VLOOKUP(B45,'[1]coa-mgb'!A$1:B$65536,2,0)</f>
        <v>Accumulated Depreciation - Communication Equipment</v>
      </c>
      <c r="B45" s="184" t="s">
        <v>47</v>
      </c>
      <c r="C45" s="182">
        <f>+SUMIFS('[1]10605071 00'!$F$1:$F$65536,'[1]10605071 00'!$D$1:$D$65536,"Beginning Balance",'[1]10605071 00'!$D$1:$D$65536,"Beginning Balance")</f>
        <v>0</v>
      </c>
      <c r="D45" s="182">
        <f>+SUMIFS('[1]10605071 00'!$H$1:$H$65536,'[1]10605071 00'!$D$1:$D$65536,"Beginning Balance",'[1]10605071 00'!$D$1:$D$65536,"Beginning Balance")</f>
        <v>38082.46</v>
      </c>
      <c r="E45" s="182">
        <f>+IF(C45+[1]SADC!C45-[1]SADC!D45-D45&gt;0,C45+[1]SADC!C45-[1]SADC!D45-D45,0)</f>
        <v>0</v>
      </c>
      <c r="F45" s="182">
        <f>+IF(D45+[1]SADC!D45-[1]SADC!C45-C45&gt;0,D45+[1]SADC!D45-[1]SADC!C45-C45,0)</f>
        <v>38305.71</v>
      </c>
      <c r="G45" s="182">
        <f>+IF(E45+[1]SADC!E45-[1]SADC!F45-F45&gt;0,E45+[1]SADC!E45-[1]SADC!F45-F45,0)</f>
        <v>0</v>
      </c>
      <c r="H45" s="182">
        <f>+IF(F45+[1]SADC!F45-[1]SADC!E45-E45&gt;0,F45+[1]SADC!F45-[1]SADC!E45-E45,0)</f>
        <v>38528.94</v>
      </c>
      <c r="I45" s="182">
        <f>+IF(G45+[1]SADC!G45-[1]SADC!H45-H45&gt;0,G45+[1]SADC!G45-[1]SADC!H45-H45,0)</f>
        <v>0</v>
      </c>
      <c r="J45" s="182">
        <f>+IF(H45+[1]SADC!H45-[1]SADC!G45-G45&gt;0,H45+[1]SADC!H45-[1]SADC!G45-G45,0)</f>
        <v>38752.18</v>
      </c>
      <c r="K45" s="182">
        <f>+IF(I45+[1]SADC!I45-[1]SADC!J45-J45&gt;0,I45+[1]SADC!I45-[1]SADC!J45-J45,0)</f>
        <v>0</v>
      </c>
      <c r="L45" s="182">
        <f>+IF(J45+[1]SADC!J45-[1]SADC!I45-I45&gt;0,J45+[1]SADC!J45-[1]SADC!I45-I45,0)</f>
        <v>38752.18</v>
      </c>
      <c r="M45" s="182">
        <f>+IF(K45+[1]SADC!K45-[1]SADC!L45-L45&gt;0,K45+[1]SADC!K45-[1]SADC!L45-L45,0)</f>
        <v>0</v>
      </c>
      <c r="N45" s="182">
        <f>+IF(L45+[1]SADC!L45-[1]SADC!K45-K45&gt;0,L45+[1]SADC!L45-[1]SADC!K45-K45,0)</f>
        <v>38752.18</v>
      </c>
      <c r="O45" s="182">
        <f>+IF(M45+[1]SADC!M45-[1]SADC!N45-N45&gt;0,M45+[1]SADC!M45-[1]SADC!N45-N45,0)</f>
        <v>0</v>
      </c>
      <c r="P45" s="182">
        <f>+IF(N45+[1]SADC!N45-[1]SADC!M45-M45&gt;0,N45+[1]SADC!N45-[1]SADC!M45-M45,0)</f>
        <v>38752.18</v>
      </c>
      <c r="Q45" s="182">
        <f>+IF(O45+[1]SADC!O45-[1]SADC!P45-P45&gt;0,O45+[1]SADC!O45-[1]SADC!P45-P45,0)</f>
        <v>0</v>
      </c>
      <c r="R45" s="182">
        <f>+IF(P45+[1]SADC!P45-[1]SADC!O45-O45&gt;0,P45+[1]SADC!P45-[1]SADC!O45-O45,0)</f>
        <v>38752.18</v>
      </c>
      <c r="S45" s="182">
        <f>+IF(Q45+[1]SADC!Q45-[1]SADC!R45-R45&gt;0,Q45+[1]SADC!Q45-[1]SADC!R45-R45,0)</f>
        <v>0</v>
      </c>
      <c r="T45" s="182">
        <f>+IF(R45+[1]SADC!R45-[1]SADC!Q45-Q45&gt;0,R45+[1]SADC!R45-[1]SADC!Q45-Q45,0)</f>
        <v>38752.18</v>
      </c>
      <c r="U45" s="182">
        <f>+IF(S45+[1]SADC!S45-[1]SADC!T45-T45&gt;0,S45+[1]SADC!S45-[1]SADC!T45-T45,0)</f>
        <v>0</v>
      </c>
      <c r="V45" s="182">
        <f>+IF(T45+[1]SADC!T45-[1]SADC!S45-S45&gt;0,T45+[1]SADC!T45-[1]SADC!S45-S45,0)</f>
        <v>38752.18</v>
      </c>
      <c r="W45" s="182">
        <f>+IF(U45+[1]SADC!U45-[1]SADC!V45-V45&gt;0,U45+[1]SADC!U45-[1]SADC!V45-V45,0)</f>
        <v>0</v>
      </c>
      <c r="X45" s="182">
        <f>+IF(V45+[1]SADC!V45-[1]SADC!U45-U45&gt;0,V45+[1]SADC!V45-[1]SADC!U45-U45,0)</f>
        <v>38752.18</v>
      </c>
      <c r="Y45" s="182">
        <f>+IF(W45+[1]SADC!W45-[1]SADC!X45-X45&gt;0,W45+[1]SADC!W45-[1]SADC!X45-X45,0)</f>
        <v>0</v>
      </c>
      <c r="Z45" s="182">
        <f>+IF(X45+[1]SADC!X45-[1]SADC!W45-W45&gt;0,X45+[1]SADC!X45-[1]SADC!W45-W45,0)</f>
        <v>38752.18</v>
      </c>
      <c r="AA45" s="182">
        <f>+IF(Y45+[1]SADC!Y45-[1]SADC!Z45-Z45&gt;0,Y45+[1]SADC!Y45-[1]SADC!Z45-Z45,0)</f>
        <v>0</v>
      </c>
      <c r="AB45" s="182">
        <f>+IF(Z45+[1]SADC!Z45-[1]SADC!Y45-Y45&gt;0,Z45+[1]SADC!Z45-[1]SADC!Y45-Y45,0)</f>
        <v>38752.18</v>
      </c>
      <c r="AC45" s="181"/>
      <c r="AD45" s="182">
        <f t="shared" si="0"/>
        <v>0</v>
      </c>
      <c r="AE45" s="182">
        <f t="shared" si="0"/>
        <v>38752.18</v>
      </c>
      <c r="AF45" s="181"/>
    </row>
    <row r="46" spans="1:32">
      <c r="A46" s="181" t="str">
        <f>+VLOOKUP(B46,'[1]coa-mgb'!A$1:B$65536,2,0)</f>
        <v>Technical and Scientific Equipment</v>
      </c>
      <c r="B46" s="184" t="s">
        <v>58</v>
      </c>
      <c r="C46" s="182">
        <f>+SUMIFS('[1]10605140 00'!$F$1:$F$65536,'[1]10605140 00'!$D$1:$D$65536,"Beginning Balance",'[1]10605140 00'!$D$1:$D$65536,"Beginning Balance")</f>
        <v>14083970.4</v>
      </c>
      <c r="D46" s="182">
        <f>+SUMIFS('[1]10605140 00'!$H$1:$H$65536,'[1]10605140 00'!$D$1:$D$65536,"Beginning Balance",'[1]10605140 00'!$D$1:$D$65536,"Beginning Balance")</f>
        <v>0</v>
      </c>
      <c r="E46" s="182">
        <f>+IF(C46+[1]SADC!C46-[1]SADC!D46-D46&gt;0,C46+[1]SADC!C46-[1]SADC!D46-D46,0)</f>
        <v>14083970.4</v>
      </c>
      <c r="F46" s="182">
        <f>+IF(D46+[1]SADC!D46-[1]SADC!C46-C46&gt;0,D46+[1]SADC!D46-[1]SADC!C46-C46,0)</f>
        <v>0</v>
      </c>
      <c r="G46" s="182">
        <f>+IF(E46+[1]SADC!E46-[1]SADC!F46-F46&gt;0,E46+[1]SADC!E46-[1]SADC!F46-F46,0)</f>
        <v>14083970.4</v>
      </c>
      <c r="H46" s="182">
        <f>+IF(F46+[1]SADC!F46-[1]SADC!E46-E46&gt;0,F46+[1]SADC!F46-[1]SADC!E46-E46,0)</f>
        <v>0</v>
      </c>
      <c r="I46" s="182">
        <f>+IF(G46+[1]SADC!G46-[1]SADC!H46-H46&gt;0,G46+[1]SADC!G46-[1]SADC!H46-H46,0)</f>
        <v>14103720.4</v>
      </c>
      <c r="J46" s="182">
        <f>+IF(H46+[1]SADC!H46-[1]SADC!G46-G46&gt;0,H46+[1]SADC!H46-[1]SADC!G46-G46,0)</f>
        <v>0</v>
      </c>
      <c r="K46" s="182">
        <f>+IF(I46+[1]SADC!I46-[1]SADC!J46-J46&gt;0,I46+[1]SADC!I46-[1]SADC!J46-J46,0)</f>
        <v>14103720.4</v>
      </c>
      <c r="L46" s="182">
        <f>+IF(J46+[1]SADC!J46-[1]SADC!I46-I46&gt;0,J46+[1]SADC!J46-[1]SADC!I46-I46,0)</f>
        <v>0</v>
      </c>
      <c r="M46" s="182">
        <f>+IF(K46+[1]SADC!K46-[1]SADC!L46-L46&gt;0,K46+[1]SADC!K46-[1]SADC!L46-L46,0)</f>
        <v>14103720.4</v>
      </c>
      <c r="N46" s="182">
        <f>+IF(L46+[1]SADC!L46-[1]SADC!K46-K46&gt;0,L46+[1]SADC!L46-[1]SADC!K46-K46,0)</f>
        <v>0</v>
      </c>
      <c r="O46" s="182">
        <f>+IF(M46+[1]SADC!M46-[1]SADC!N46-N46&gt;0,M46+[1]SADC!M46-[1]SADC!N46-N46,0)</f>
        <v>14103720.4</v>
      </c>
      <c r="P46" s="182">
        <f>+IF(N46+[1]SADC!N46-[1]SADC!M46-M46&gt;0,N46+[1]SADC!N46-[1]SADC!M46-M46,0)</f>
        <v>0</v>
      </c>
      <c r="Q46" s="182">
        <f>+IF(O46+[1]SADC!O46-[1]SADC!P46-P46&gt;0,O46+[1]SADC!O46-[1]SADC!P46-P46,0)</f>
        <v>14103720.4</v>
      </c>
      <c r="R46" s="182">
        <f>+IF(P46+[1]SADC!P46-[1]SADC!O46-O46&gt;0,P46+[1]SADC!P46-[1]SADC!O46-O46,0)</f>
        <v>0</v>
      </c>
      <c r="S46" s="182">
        <f>+IF(Q46+[1]SADC!Q46-[1]SADC!R46-R46&gt;0,Q46+[1]SADC!Q46-[1]SADC!R46-R46,0)</f>
        <v>14103720.4</v>
      </c>
      <c r="T46" s="182">
        <f>+IF(R46+[1]SADC!R46-[1]SADC!Q46-Q46&gt;0,R46+[1]SADC!R46-[1]SADC!Q46-Q46,0)</f>
        <v>0</v>
      </c>
      <c r="U46" s="182">
        <f>+IF(S46+[1]SADC!S46-[1]SADC!T46-T46&gt;0,S46+[1]SADC!S46-[1]SADC!T46-T46,0)</f>
        <v>14103720.4</v>
      </c>
      <c r="V46" s="182">
        <f>+IF(T46+[1]SADC!T46-[1]SADC!S46-S46&gt;0,T46+[1]SADC!T46-[1]SADC!S46-S46,0)</f>
        <v>0</v>
      </c>
      <c r="W46" s="182">
        <f>+IF(U46+[1]SADC!U46-[1]SADC!V46-V46&gt;0,U46+[1]SADC!U46-[1]SADC!V46-V46,0)</f>
        <v>14103720.4</v>
      </c>
      <c r="X46" s="182">
        <f>+IF(V46+[1]SADC!V46-[1]SADC!U46-U46&gt;0,V46+[1]SADC!V46-[1]SADC!U46-U46,0)</f>
        <v>0</v>
      </c>
      <c r="Y46" s="182">
        <f>+IF(W46+[1]SADC!W46-[1]SADC!X46-X46&gt;0,W46+[1]SADC!W46-[1]SADC!X46-X46,0)</f>
        <v>14103720.4</v>
      </c>
      <c r="Z46" s="182">
        <f>+IF(X46+[1]SADC!X46-[1]SADC!W46-W46&gt;0,X46+[1]SADC!X46-[1]SADC!W46-W46,0)</f>
        <v>0</v>
      </c>
      <c r="AA46" s="182">
        <f>+IF(Y46+[1]SADC!Y46-[1]SADC!Z46-Z46&gt;0,Y46+[1]SADC!Y46-[1]SADC!Z46-Z46,0)</f>
        <v>14103720.4</v>
      </c>
      <c r="AB46" s="182">
        <f>+IF(Z46+[1]SADC!Z46-[1]SADC!Y46-Y46&gt;0,Z46+[1]SADC!Z46-[1]SADC!Y46-Y46,0)</f>
        <v>0</v>
      </c>
      <c r="AC46" s="181"/>
      <c r="AD46" s="182">
        <f t="shared" si="0"/>
        <v>14103720.4</v>
      </c>
      <c r="AE46" s="182">
        <f t="shared" si="0"/>
        <v>0</v>
      </c>
      <c r="AF46" s="181"/>
    </row>
    <row r="47" spans="1:32">
      <c r="A47" s="181" t="str">
        <f>+VLOOKUP(B47,'[1]coa-mgb'!A$1:B$65536,2,0)</f>
        <v>Accumulated Depreciation - Technical and Scientific Equipt.</v>
      </c>
      <c r="B47" s="184" t="s">
        <v>59</v>
      </c>
      <c r="C47" s="182">
        <f>+SUMIFS('[1]10605141 00'!$F$1:$F$65536,'[1]10605141 00'!$D$1:$D$65536,"Beginning Balance",'[1]10605141 00'!$D$1:$D$65536,"Beginning Balance")</f>
        <v>0</v>
      </c>
      <c r="D47" s="182">
        <f>+SUMIFS('[1]10605141 00'!$H$1:$H$65536,'[1]10605141 00'!$D$1:$D$65536,"Beginning Balance",'[1]10605141 00'!$D$1:$D$65536,"Beginning Balance")</f>
        <v>4678670.57</v>
      </c>
      <c r="E47" s="182">
        <f>+IF(C47+[1]SADC!C47-[1]SADC!D47-D47&gt;0,C47+[1]SADC!C47-[1]SADC!D47-D47,0)</f>
        <v>0</v>
      </c>
      <c r="F47" s="182">
        <f>+IF(D47+[1]SADC!D47-[1]SADC!C47-C47&gt;0,D47+[1]SADC!D47-[1]SADC!C47-C47,0)</f>
        <v>4772676.41</v>
      </c>
      <c r="G47" s="182">
        <f>+IF(E47+[1]SADC!E47-[1]SADC!F47-F47&gt;0,E47+[1]SADC!E47-[1]SADC!F47-F47,0)</f>
        <v>0</v>
      </c>
      <c r="H47" s="182">
        <f>+IF(F47+[1]SADC!F47-[1]SADC!E47-E47&gt;0,F47+[1]SADC!F47-[1]SADC!E47-E47,0)</f>
        <v>4866682.12</v>
      </c>
      <c r="I47" s="182">
        <f>+IF(G47+[1]SADC!G47-[1]SADC!H47-H47&gt;0,G47+[1]SADC!G47-[1]SADC!H47-H47,0)</f>
        <v>0</v>
      </c>
      <c r="J47" s="182">
        <f>+IF(H47+[1]SADC!H47-[1]SADC!G47-G47&gt;0,H47+[1]SADC!H47-[1]SADC!G47-G47,0)</f>
        <v>4964054.4400000004</v>
      </c>
      <c r="K47" s="182">
        <f>+IF(I47+[1]SADC!I47-[1]SADC!J47-J47&gt;0,I47+[1]SADC!I47-[1]SADC!J47-J47,0)</f>
        <v>0</v>
      </c>
      <c r="L47" s="182">
        <f>+IF(J47+[1]SADC!J47-[1]SADC!I47-I47&gt;0,J47+[1]SADC!J47-[1]SADC!I47-I47,0)</f>
        <v>4964054.4400000004</v>
      </c>
      <c r="M47" s="182">
        <f>+IF(K47+[1]SADC!K47-[1]SADC!L47-L47&gt;0,K47+[1]SADC!K47-[1]SADC!L47-L47,0)</f>
        <v>0</v>
      </c>
      <c r="N47" s="182">
        <f>+IF(L47+[1]SADC!L47-[1]SADC!K47-K47&gt;0,L47+[1]SADC!L47-[1]SADC!K47-K47,0)</f>
        <v>4964054.4400000004</v>
      </c>
      <c r="O47" s="182">
        <f>+IF(M47+[1]SADC!M47-[1]SADC!N47-N47&gt;0,M47+[1]SADC!M47-[1]SADC!N47-N47,0)</f>
        <v>0</v>
      </c>
      <c r="P47" s="182">
        <f>+IF(N47+[1]SADC!N47-[1]SADC!M47-M47&gt;0,N47+[1]SADC!N47-[1]SADC!M47-M47,0)</f>
        <v>4964054.4400000004</v>
      </c>
      <c r="Q47" s="182">
        <f>+IF(O47+[1]SADC!O47-[1]SADC!P47-P47&gt;0,O47+[1]SADC!O47-[1]SADC!P47-P47,0)</f>
        <v>0</v>
      </c>
      <c r="R47" s="182">
        <f>+IF(P47+[1]SADC!P47-[1]SADC!O47-O47&gt;0,P47+[1]SADC!P47-[1]SADC!O47-O47,0)</f>
        <v>4964054.4400000004</v>
      </c>
      <c r="S47" s="182">
        <f>+IF(Q47+[1]SADC!Q47-[1]SADC!R47-R47&gt;0,Q47+[1]SADC!Q47-[1]SADC!R47-R47,0)</f>
        <v>0</v>
      </c>
      <c r="T47" s="182">
        <f>+IF(R47+[1]SADC!R47-[1]SADC!Q47-Q47&gt;0,R47+[1]SADC!R47-[1]SADC!Q47-Q47,0)</f>
        <v>4964054.4400000004</v>
      </c>
      <c r="U47" s="182">
        <f>+IF(S47+[1]SADC!S47-[1]SADC!T47-T47&gt;0,S47+[1]SADC!S47-[1]SADC!T47-T47,0)</f>
        <v>0</v>
      </c>
      <c r="V47" s="182">
        <f>+IF(T47+[1]SADC!T47-[1]SADC!S47-S47&gt;0,T47+[1]SADC!T47-[1]SADC!S47-S47,0)</f>
        <v>4964054.4400000004</v>
      </c>
      <c r="W47" s="182">
        <f>+IF(U47+[1]SADC!U47-[1]SADC!V47-V47&gt;0,U47+[1]SADC!U47-[1]SADC!V47-V47,0)</f>
        <v>0</v>
      </c>
      <c r="X47" s="182">
        <f>+IF(V47+[1]SADC!V47-[1]SADC!U47-U47&gt;0,V47+[1]SADC!V47-[1]SADC!U47-U47,0)</f>
        <v>4964054.4400000004</v>
      </c>
      <c r="Y47" s="182">
        <f>+IF(W47+[1]SADC!W47-[1]SADC!X47-X47&gt;0,W47+[1]SADC!W47-[1]SADC!X47-X47,0)</f>
        <v>0</v>
      </c>
      <c r="Z47" s="182">
        <f>+IF(X47+[1]SADC!X47-[1]SADC!W47-W47&gt;0,X47+[1]SADC!X47-[1]SADC!W47-W47,0)</f>
        <v>4964054.4400000004</v>
      </c>
      <c r="AA47" s="182">
        <f>+IF(Y47+[1]SADC!Y47-[1]SADC!Z47-Z47&gt;0,Y47+[1]SADC!Y47-[1]SADC!Z47-Z47,0)</f>
        <v>0</v>
      </c>
      <c r="AB47" s="182">
        <f>+IF(Z47+[1]SADC!Z47-[1]SADC!Y47-Y47&gt;0,Z47+[1]SADC!Z47-[1]SADC!Y47-Y47,0)</f>
        <v>4964054.4400000004</v>
      </c>
      <c r="AC47" s="181"/>
      <c r="AD47" s="182">
        <f t="shared" si="0"/>
        <v>0</v>
      </c>
      <c r="AE47" s="182">
        <f t="shared" si="0"/>
        <v>4964054.4400000004</v>
      </c>
      <c r="AF47" s="181"/>
    </row>
    <row r="48" spans="1:32">
      <c r="A48" s="181" t="str">
        <f>+VLOOKUP(B48,'[1]coa-mgb'!A$1:B$65536,2,0)</f>
        <v>Motor Vehicles</v>
      </c>
      <c r="B48" s="184" t="s">
        <v>62</v>
      </c>
      <c r="C48" s="182">
        <f>+SUMIFS('[1]10606010 00'!$F$1:$F$65536,'[1]10606010 00'!$D$1:$D$65536,"Beginning Balance",'[1]10606010 00'!$D$1:$D$65536,"Beginning Balance")</f>
        <v>4244500</v>
      </c>
      <c r="D48" s="182">
        <f>+SUMIFS('[1]10606010 00'!$H$1:$H$65536,'[1]10606010 00'!$D$1:$D$65536,"Beginning Balance",'[1]10606010 00'!$D$1:$D$65536,"Beginning Balance")</f>
        <v>0</v>
      </c>
      <c r="E48" s="182">
        <f>+IF(C48+[1]SADC!C48-[1]SADC!D48-D48&gt;0,C48+[1]SADC!C48-[1]SADC!D48-D48,0)</f>
        <v>4244500</v>
      </c>
      <c r="F48" s="182">
        <f>+IF(D48+[1]SADC!D48-[1]SADC!C48-C48&gt;0,D48+[1]SADC!D48-[1]SADC!C48-C48,0)</f>
        <v>0</v>
      </c>
      <c r="G48" s="182">
        <f>+IF(E48+[1]SADC!E48-[1]SADC!F48-F48&gt;0,E48+[1]SADC!E48-[1]SADC!F48-F48,0)</f>
        <v>4244500</v>
      </c>
      <c r="H48" s="182">
        <f>+IF(F48+[1]SADC!F48-[1]SADC!E48-E48&gt;0,F48+[1]SADC!F48-[1]SADC!E48-E48,0)</f>
        <v>0</v>
      </c>
      <c r="I48" s="182">
        <f>+IF(G48+[1]SADC!G48-[1]SADC!H48-H48&gt;0,G48+[1]SADC!G48-[1]SADC!H48-H48,0)</f>
        <v>4244500</v>
      </c>
      <c r="J48" s="182">
        <f>+IF(H48+[1]SADC!H48-[1]SADC!G48-G48&gt;0,H48+[1]SADC!H48-[1]SADC!G48-G48,0)</f>
        <v>0</v>
      </c>
      <c r="K48" s="182">
        <f>+IF(I48+[1]SADC!I48-[1]SADC!J48-J48&gt;0,I48+[1]SADC!I48-[1]SADC!J48-J48,0)</f>
        <v>4244500</v>
      </c>
      <c r="L48" s="182">
        <f>+IF(J48+[1]SADC!J48-[1]SADC!I48-I48&gt;0,J48+[1]SADC!J48-[1]SADC!I48-I48,0)</f>
        <v>0</v>
      </c>
      <c r="M48" s="182">
        <f>+IF(K48+[1]SADC!K48-[1]SADC!L48-L48&gt;0,K48+[1]SADC!K48-[1]SADC!L48-L48,0)</f>
        <v>4244500</v>
      </c>
      <c r="N48" s="182">
        <f>+IF(L48+[1]SADC!L48-[1]SADC!K48-K48&gt;0,L48+[1]SADC!L48-[1]SADC!K48-K48,0)</f>
        <v>0</v>
      </c>
      <c r="O48" s="182">
        <f>+IF(M48+[1]SADC!M48-[1]SADC!N48-N48&gt;0,M48+[1]SADC!M48-[1]SADC!N48-N48,0)</f>
        <v>4244500</v>
      </c>
      <c r="P48" s="182">
        <f>+IF(N48+[1]SADC!N48-[1]SADC!M48-M48&gt;0,N48+[1]SADC!N48-[1]SADC!M48-M48,0)</f>
        <v>0</v>
      </c>
      <c r="Q48" s="182">
        <f>+IF(O48+[1]SADC!O48-[1]SADC!P48-P48&gt;0,O48+[1]SADC!O48-[1]SADC!P48-P48,0)</f>
        <v>4244500</v>
      </c>
      <c r="R48" s="182">
        <f>+IF(P48+[1]SADC!P48-[1]SADC!O48-O48&gt;0,P48+[1]SADC!P48-[1]SADC!O48-O48,0)</f>
        <v>0</v>
      </c>
      <c r="S48" s="182">
        <f>+IF(Q48+[1]SADC!Q48-[1]SADC!R48-R48&gt;0,Q48+[1]SADC!Q48-[1]SADC!R48-R48,0)</f>
        <v>4244500</v>
      </c>
      <c r="T48" s="182">
        <f>+IF(R48+[1]SADC!R48-[1]SADC!Q48-Q48&gt;0,R48+[1]SADC!R48-[1]SADC!Q48-Q48,0)</f>
        <v>0</v>
      </c>
      <c r="U48" s="182">
        <f>+IF(S48+[1]SADC!S48-[1]SADC!T48-T48&gt;0,S48+[1]SADC!S48-[1]SADC!T48-T48,0)</f>
        <v>4244500</v>
      </c>
      <c r="V48" s="182">
        <f>+IF(T48+[1]SADC!T48-[1]SADC!S48-S48&gt;0,T48+[1]SADC!T48-[1]SADC!S48-S48,0)</f>
        <v>0</v>
      </c>
      <c r="W48" s="182">
        <f>+IF(U48+[1]SADC!U48-[1]SADC!V48-V48&gt;0,U48+[1]SADC!U48-[1]SADC!V48-V48,0)</f>
        <v>4244500</v>
      </c>
      <c r="X48" s="182">
        <f>+IF(V48+[1]SADC!V48-[1]SADC!U48-U48&gt;0,V48+[1]SADC!V48-[1]SADC!U48-U48,0)</f>
        <v>0</v>
      </c>
      <c r="Y48" s="182">
        <f>+IF(W48+[1]SADC!W48-[1]SADC!X48-X48&gt;0,W48+[1]SADC!W48-[1]SADC!X48-X48,0)</f>
        <v>4244500</v>
      </c>
      <c r="Z48" s="182">
        <f>+IF(X48+[1]SADC!X48-[1]SADC!W48-W48&gt;0,X48+[1]SADC!X48-[1]SADC!W48-W48,0)</f>
        <v>0</v>
      </c>
      <c r="AA48" s="182">
        <f>+IF(Y48+[1]SADC!Y48-[1]SADC!Z48-Z48&gt;0,Y48+[1]SADC!Y48-[1]SADC!Z48-Z48,0)</f>
        <v>4244500</v>
      </c>
      <c r="AB48" s="182">
        <f>+IF(Z48+[1]SADC!Z48-[1]SADC!Y48-Y48&gt;0,Z48+[1]SADC!Z48-[1]SADC!Y48-Y48,0)</f>
        <v>0</v>
      </c>
      <c r="AC48" s="181"/>
      <c r="AD48" s="182">
        <f t="shared" si="0"/>
        <v>4244500</v>
      </c>
      <c r="AE48" s="182">
        <f t="shared" si="0"/>
        <v>0</v>
      </c>
      <c r="AF48" s="181"/>
    </row>
    <row r="49" spans="1:32">
      <c r="A49" s="181" t="str">
        <f>+VLOOKUP(B49,'[1]coa-mgb'!A$1:B$65536,2,0)</f>
        <v>Accumulated Depreciation - Motor Vehicles</v>
      </c>
      <c r="B49" s="184" t="s">
        <v>63</v>
      </c>
      <c r="C49" s="182">
        <f>+SUMIFS('[1]10606011 00'!$F$1:$F$65536,'[1]10606011 00'!$D$1:$D$65536,"Beginning Balance",'[1]10606011 00'!$D$1:$D$65536,"Beginning Balance")</f>
        <v>0</v>
      </c>
      <c r="D49" s="182">
        <f>+SUMIFS('[1]10606011 00'!$H$1:$H$65536,'[1]10606011 00'!$D$1:$D$65536,"Beginning Balance",'[1]10606011 00'!$D$1:$D$65536,"Beginning Balance")</f>
        <v>2784085.72</v>
      </c>
      <c r="E49" s="182">
        <f>+IF(C49+[1]SADC!C49-[1]SADC!D49-D49&gt;0,C49+[1]SADC!C49-[1]SADC!D49-D49,0)</f>
        <v>0</v>
      </c>
      <c r="F49" s="182">
        <f>+IF(D49+[1]SADC!D49-[1]SADC!C49-C49&gt;0,D49+[1]SADC!D49-[1]SADC!C49-C49,0)</f>
        <v>2791151.79</v>
      </c>
      <c r="G49" s="182">
        <f>+IF(E49+[1]SADC!E49-[1]SADC!F49-F49&gt;0,E49+[1]SADC!E49-[1]SADC!F49-F49,0)</f>
        <v>0</v>
      </c>
      <c r="H49" s="182">
        <f>+IF(F49+[1]SADC!F49-[1]SADC!E49-E49&gt;0,F49+[1]SADC!F49-[1]SADC!E49-E49,0)</f>
        <v>2813217.86</v>
      </c>
      <c r="I49" s="182">
        <f>+IF(G49+[1]SADC!G49-[1]SADC!H49-H49&gt;0,G49+[1]SADC!G49-[1]SADC!H49-H49,0)</f>
        <v>0</v>
      </c>
      <c r="J49" s="182">
        <f>+IF(H49+[1]SADC!H49-[1]SADC!G49-G49&gt;0,H49+[1]SADC!H49-[1]SADC!G49-G49,0)</f>
        <v>2835283.9299999997</v>
      </c>
      <c r="K49" s="182">
        <f>+IF(I49+[1]SADC!I49-[1]SADC!J49-J49&gt;0,I49+[1]SADC!I49-[1]SADC!J49-J49,0)</f>
        <v>0</v>
      </c>
      <c r="L49" s="182">
        <f>+IF(J49+[1]SADC!J49-[1]SADC!I49-I49&gt;0,J49+[1]SADC!J49-[1]SADC!I49-I49,0)</f>
        <v>2835283.9299999997</v>
      </c>
      <c r="M49" s="182">
        <f>+IF(K49+[1]SADC!K49-[1]SADC!L49-L49&gt;0,K49+[1]SADC!K49-[1]SADC!L49-L49,0)</f>
        <v>0</v>
      </c>
      <c r="N49" s="182">
        <f>+IF(L49+[1]SADC!L49-[1]SADC!K49-K49&gt;0,L49+[1]SADC!L49-[1]SADC!K49-K49,0)</f>
        <v>2835283.9299999997</v>
      </c>
      <c r="O49" s="182">
        <f>+IF(M49+[1]SADC!M49-[1]SADC!N49-N49&gt;0,M49+[1]SADC!M49-[1]SADC!N49-N49,0)</f>
        <v>0</v>
      </c>
      <c r="P49" s="182">
        <f>+IF(N49+[1]SADC!N49-[1]SADC!M49-M49&gt;0,N49+[1]SADC!N49-[1]SADC!M49-M49,0)</f>
        <v>2835283.9299999997</v>
      </c>
      <c r="Q49" s="182">
        <f>+IF(O49+[1]SADC!O49-[1]SADC!P49-P49&gt;0,O49+[1]SADC!O49-[1]SADC!P49-P49,0)</f>
        <v>0</v>
      </c>
      <c r="R49" s="182">
        <f>+IF(P49+[1]SADC!P49-[1]SADC!O49-O49&gt;0,P49+[1]SADC!P49-[1]SADC!O49-O49,0)</f>
        <v>2835283.9299999997</v>
      </c>
      <c r="S49" s="182">
        <f>+IF(Q49+[1]SADC!Q49-[1]SADC!R49-R49&gt;0,Q49+[1]SADC!Q49-[1]SADC!R49-R49,0)</f>
        <v>0</v>
      </c>
      <c r="T49" s="182">
        <f>+IF(R49+[1]SADC!R49-[1]SADC!Q49-Q49&gt;0,R49+[1]SADC!R49-[1]SADC!Q49-Q49,0)</f>
        <v>2835283.9299999997</v>
      </c>
      <c r="U49" s="182">
        <f>+IF(S49+[1]SADC!S49-[1]SADC!T49-T49&gt;0,S49+[1]SADC!S49-[1]SADC!T49-T49,0)</f>
        <v>0</v>
      </c>
      <c r="V49" s="182">
        <f>+IF(T49+[1]SADC!T49-[1]SADC!S49-S49&gt;0,T49+[1]SADC!T49-[1]SADC!S49-S49,0)</f>
        <v>2835283.9299999997</v>
      </c>
      <c r="W49" s="182">
        <f>+IF(U49+[1]SADC!U49-[1]SADC!V49-V49&gt;0,U49+[1]SADC!U49-[1]SADC!V49-V49,0)</f>
        <v>0</v>
      </c>
      <c r="X49" s="182">
        <f>+IF(V49+[1]SADC!V49-[1]SADC!U49-U49&gt;0,V49+[1]SADC!V49-[1]SADC!U49-U49,0)</f>
        <v>2835283.9299999997</v>
      </c>
      <c r="Y49" s="182">
        <f>+IF(W49+[1]SADC!W49-[1]SADC!X49-X49&gt;0,W49+[1]SADC!W49-[1]SADC!X49-X49,0)</f>
        <v>0</v>
      </c>
      <c r="Z49" s="182">
        <f>+IF(X49+[1]SADC!X49-[1]SADC!W49-W49&gt;0,X49+[1]SADC!X49-[1]SADC!W49-W49,0)</f>
        <v>2835283.9299999997</v>
      </c>
      <c r="AA49" s="182">
        <f>+IF(Y49+[1]SADC!Y49-[1]SADC!Z49-Z49&gt;0,Y49+[1]SADC!Y49-[1]SADC!Z49-Z49,0)</f>
        <v>0</v>
      </c>
      <c r="AB49" s="182">
        <f>+IF(Z49+[1]SADC!Z49-[1]SADC!Y49-Y49&gt;0,Z49+[1]SADC!Z49-[1]SADC!Y49-Y49,0)</f>
        <v>2835283.9299999997</v>
      </c>
      <c r="AC49" s="181"/>
      <c r="AD49" s="182">
        <f t="shared" si="0"/>
        <v>0</v>
      </c>
      <c r="AE49" s="182">
        <f t="shared" si="0"/>
        <v>2835283.9299999997</v>
      </c>
      <c r="AF49" s="181"/>
    </row>
    <row r="50" spans="1:32">
      <c r="A50" s="181" t="str">
        <f>+VLOOKUP(B50,'[1]coa-mgb'!A$1:B$65536,2,0)</f>
        <v xml:space="preserve">Furniture and Fixtures </v>
      </c>
      <c r="B50" s="184" t="s">
        <v>66</v>
      </c>
      <c r="C50" s="182">
        <f>+SUMIFS('[1]10607010 00'!$F$1:$F$65536,'[1]10607010 00'!$D$1:$D$65536,"Beginning Balance",'[1]10607010 00'!$D$1:$D$65536,"Beginning Balance")</f>
        <v>1494617.21</v>
      </c>
      <c r="D50" s="182">
        <f>+SUMIFS('[1]10607010 00'!$H$1:$H$65536,'[1]10607010 00'!$D$1:$D$65536,"Beginning Balance",'[1]10607010 00'!$D$1:$D$65536,"Beginning Balance")</f>
        <v>0</v>
      </c>
      <c r="E50" s="182">
        <f>+IF(C50+[1]SADC!C50-[1]SADC!D50-D50&gt;0,C50+[1]SADC!C50-[1]SADC!D50-D50,0)</f>
        <v>1494617.21</v>
      </c>
      <c r="F50" s="182">
        <f>+IF(D50+[1]SADC!D50-[1]SADC!C50-C50&gt;0,D50+[1]SADC!D50-[1]SADC!C50-C50,0)</f>
        <v>0</v>
      </c>
      <c r="G50" s="182">
        <f>+IF(E50+[1]SADC!E50-[1]SADC!F50-F50&gt;0,E50+[1]SADC!E50-[1]SADC!F50-F50,0)</f>
        <v>1494617.21</v>
      </c>
      <c r="H50" s="182">
        <f>+IF(F50+[1]SADC!F50-[1]SADC!E50-E50&gt;0,F50+[1]SADC!F50-[1]SADC!E50-E50,0)</f>
        <v>0</v>
      </c>
      <c r="I50" s="182">
        <f>+IF(G50+[1]SADC!G50-[1]SADC!H50-H50&gt;0,G50+[1]SADC!G50-[1]SADC!H50-H50,0)</f>
        <v>1494617.21</v>
      </c>
      <c r="J50" s="182">
        <f>+IF(H50+[1]SADC!H50-[1]SADC!G50-G50&gt;0,H50+[1]SADC!H50-[1]SADC!G50-G50,0)</f>
        <v>0</v>
      </c>
      <c r="K50" s="182">
        <f>+IF(I50+[1]SADC!I50-[1]SADC!J50-J50&gt;0,I50+[1]SADC!I50-[1]SADC!J50-J50,0)</f>
        <v>1494617.21</v>
      </c>
      <c r="L50" s="182">
        <f>+IF(J50+[1]SADC!J50-[1]SADC!I50-I50&gt;0,J50+[1]SADC!J50-[1]SADC!I50-I50,0)</f>
        <v>0</v>
      </c>
      <c r="M50" s="182">
        <f>+IF(K50+[1]SADC!K50-[1]SADC!L50-L50&gt;0,K50+[1]SADC!K50-[1]SADC!L50-L50,0)</f>
        <v>1494617.21</v>
      </c>
      <c r="N50" s="182">
        <f>+IF(L50+[1]SADC!L50-[1]SADC!K50-K50&gt;0,L50+[1]SADC!L50-[1]SADC!K50-K50,0)</f>
        <v>0</v>
      </c>
      <c r="O50" s="182">
        <f>+IF(M50+[1]SADC!M50-[1]SADC!N50-N50&gt;0,M50+[1]SADC!M50-[1]SADC!N50-N50,0)</f>
        <v>1494617.21</v>
      </c>
      <c r="P50" s="182">
        <f>+IF(N50+[1]SADC!N50-[1]SADC!M50-M50&gt;0,N50+[1]SADC!N50-[1]SADC!M50-M50,0)</f>
        <v>0</v>
      </c>
      <c r="Q50" s="182">
        <f>+IF(O50+[1]SADC!O50-[1]SADC!P50-P50&gt;0,O50+[1]SADC!O50-[1]SADC!P50-P50,0)</f>
        <v>1494617.21</v>
      </c>
      <c r="R50" s="182">
        <f>+IF(P50+[1]SADC!P50-[1]SADC!O50-O50&gt;0,P50+[1]SADC!P50-[1]SADC!O50-O50,0)</f>
        <v>0</v>
      </c>
      <c r="S50" s="182">
        <f>+IF(Q50+[1]SADC!Q50-[1]SADC!R50-R50&gt;0,Q50+[1]SADC!Q50-[1]SADC!R50-R50,0)</f>
        <v>1494617.21</v>
      </c>
      <c r="T50" s="182">
        <f>+IF(R50+[1]SADC!R50-[1]SADC!Q50-Q50&gt;0,R50+[1]SADC!R50-[1]SADC!Q50-Q50,0)</f>
        <v>0</v>
      </c>
      <c r="U50" s="182">
        <f>+IF(S50+[1]SADC!S50-[1]SADC!T50-T50&gt;0,S50+[1]SADC!S50-[1]SADC!T50-T50,0)</f>
        <v>1494617.21</v>
      </c>
      <c r="V50" s="182">
        <f>+IF(T50+[1]SADC!T50-[1]SADC!S50-S50&gt;0,T50+[1]SADC!T50-[1]SADC!S50-S50,0)</f>
        <v>0</v>
      </c>
      <c r="W50" s="182">
        <f>+IF(U50+[1]SADC!U50-[1]SADC!V50-V50&gt;0,U50+[1]SADC!U50-[1]SADC!V50-V50,0)</f>
        <v>1494617.21</v>
      </c>
      <c r="X50" s="182">
        <f>+IF(V50+[1]SADC!V50-[1]SADC!U50-U50&gt;0,V50+[1]SADC!V50-[1]SADC!U50-U50,0)</f>
        <v>0</v>
      </c>
      <c r="Y50" s="182">
        <f>+IF(W50+[1]SADC!W50-[1]SADC!X50-X50&gt;0,W50+[1]SADC!W50-[1]SADC!X50-X50,0)</f>
        <v>1494617.21</v>
      </c>
      <c r="Z50" s="182">
        <f>+IF(X50+[1]SADC!X50-[1]SADC!W50-W50&gt;0,X50+[1]SADC!X50-[1]SADC!W50-W50,0)</f>
        <v>0</v>
      </c>
      <c r="AA50" s="182">
        <f>+IF(Y50+[1]SADC!Y50-[1]SADC!Z50-Z50&gt;0,Y50+[1]SADC!Y50-[1]SADC!Z50-Z50,0)</f>
        <v>1494617.21</v>
      </c>
      <c r="AB50" s="182">
        <f>+IF(Z50+[1]SADC!Z50-[1]SADC!Y50-Y50&gt;0,Z50+[1]SADC!Z50-[1]SADC!Y50-Y50,0)</f>
        <v>0</v>
      </c>
      <c r="AC50" s="181"/>
      <c r="AD50" s="182">
        <f t="shared" si="0"/>
        <v>1494617.21</v>
      </c>
      <c r="AE50" s="182">
        <f t="shared" si="0"/>
        <v>0</v>
      </c>
      <c r="AF50" s="181"/>
    </row>
    <row r="51" spans="1:32">
      <c r="A51" s="181" t="str">
        <f>+VLOOKUP(B51,'[1]coa-mgb'!A$1:B$65536,2,0)</f>
        <v>Accumulated Depreciation - Furniture and Fixtures</v>
      </c>
      <c r="B51" s="184" t="s">
        <v>67</v>
      </c>
      <c r="C51" s="182">
        <f>+SUMIFS('[1]10607011 00'!$F$1:$F$65536,'[1]10607011 00'!$D$1:$D$65536,"Beginning Balance",'[1]10607011 00'!$D$1:$D$65536,"Beginning Balance")</f>
        <v>0</v>
      </c>
      <c r="D51" s="182">
        <f>+SUMIFS('[1]10607011 00'!$H$1:$H$65536,'[1]10607011 00'!$D$1:$D$65536,"Beginning Balance",'[1]10607011 00'!$D$1:$D$65536,"Beginning Balance")</f>
        <v>491008.39</v>
      </c>
      <c r="E51" s="182">
        <f>+IF(C51+[1]SADC!C51-[1]SADC!D51-D51&gt;0,C51+[1]SADC!C51-[1]SADC!D51-D51,0)</f>
        <v>0</v>
      </c>
      <c r="F51" s="182">
        <f>+IF(D51+[1]SADC!D51-[1]SADC!C51-C51&gt;0,D51+[1]SADC!D51-[1]SADC!C51-C51,0)</f>
        <v>500121.4</v>
      </c>
      <c r="G51" s="182">
        <f>+IF(E51+[1]SADC!E51-[1]SADC!F51-F51&gt;0,E51+[1]SADC!E51-[1]SADC!F51-F51,0)</f>
        <v>0</v>
      </c>
      <c r="H51" s="182">
        <f>+IF(F51+[1]SADC!F51-[1]SADC!E51-E51&gt;0,F51+[1]SADC!F51-[1]SADC!E51-E51,0)</f>
        <v>509233.73000000004</v>
      </c>
      <c r="I51" s="182">
        <f>+IF(G51+[1]SADC!G51-[1]SADC!H51-H51&gt;0,G51+[1]SADC!G51-[1]SADC!H51-H51,0)</f>
        <v>0</v>
      </c>
      <c r="J51" s="182">
        <f>+IF(H51+[1]SADC!H51-[1]SADC!G51-G51&gt;0,H51+[1]SADC!H51-[1]SADC!G51-G51,0)</f>
        <v>518346.74000000005</v>
      </c>
      <c r="K51" s="182">
        <f>+IF(I51+[1]SADC!I51-[1]SADC!J51-J51&gt;0,I51+[1]SADC!I51-[1]SADC!J51-J51,0)</f>
        <v>0</v>
      </c>
      <c r="L51" s="182">
        <f>+IF(J51+[1]SADC!J51-[1]SADC!I51-I51&gt;0,J51+[1]SADC!J51-[1]SADC!I51-I51,0)</f>
        <v>518346.74000000005</v>
      </c>
      <c r="M51" s="182">
        <f>+IF(K51+[1]SADC!K51-[1]SADC!L51-L51&gt;0,K51+[1]SADC!K51-[1]SADC!L51-L51,0)</f>
        <v>0</v>
      </c>
      <c r="N51" s="182">
        <f>+IF(L51+[1]SADC!L51-[1]SADC!K51-K51&gt;0,L51+[1]SADC!L51-[1]SADC!K51-K51,0)</f>
        <v>518346.74000000005</v>
      </c>
      <c r="O51" s="182">
        <f>+IF(M51+[1]SADC!M51-[1]SADC!N51-N51&gt;0,M51+[1]SADC!M51-[1]SADC!N51-N51,0)</f>
        <v>0</v>
      </c>
      <c r="P51" s="182">
        <f>+IF(N51+[1]SADC!N51-[1]SADC!M51-M51&gt;0,N51+[1]SADC!N51-[1]SADC!M51-M51,0)</f>
        <v>518346.74000000005</v>
      </c>
      <c r="Q51" s="182">
        <f>+IF(O51+[1]SADC!O51-[1]SADC!P51-P51&gt;0,O51+[1]SADC!O51-[1]SADC!P51-P51,0)</f>
        <v>0</v>
      </c>
      <c r="R51" s="182">
        <f>+IF(P51+[1]SADC!P51-[1]SADC!O51-O51&gt;0,P51+[1]SADC!P51-[1]SADC!O51-O51,0)</f>
        <v>518346.74000000005</v>
      </c>
      <c r="S51" s="182">
        <f>+IF(Q51+[1]SADC!Q51-[1]SADC!R51-R51&gt;0,Q51+[1]SADC!Q51-[1]SADC!R51-R51,0)</f>
        <v>0</v>
      </c>
      <c r="T51" s="182">
        <f>+IF(R51+[1]SADC!R51-[1]SADC!Q51-Q51&gt;0,R51+[1]SADC!R51-[1]SADC!Q51-Q51,0)</f>
        <v>518346.74000000005</v>
      </c>
      <c r="U51" s="182">
        <f>+IF(S51+[1]SADC!S51-[1]SADC!T51-T51&gt;0,S51+[1]SADC!S51-[1]SADC!T51-T51,0)</f>
        <v>0</v>
      </c>
      <c r="V51" s="182">
        <f>+IF(T51+[1]SADC!T51-[1]SADC!S51-S51&gt;0,T51+[1]SADC!T51-[1]SADC!S51-S51,0)</f>
        <v>518346.74000000005</v>
      </c>
      <c r="W51" s="182">
        <f>+IF(U51+[1]SADC!U51-[1]SADC!V51-V51&gt;0,U51+[1]SADC!U51-[1]SADC!V51-V51,0)</f>
        <v>0</v>
      </c>
      <c r="X51" s="182">
        <f>+IF(V51+[1]SADC!V51-[1]SADC!U51-U51&gt;0,V51+[1]SADC!V51-[1]SADC!U51-U51,0)</f>
        <v>518346.74000000005</v>
      </c>
      <c r="Y51" s="182">
        <f>+IF(W51+[1]SADC!W51-[1]SADC!X51-X51&gt;0,W51+[1]SADC!W51-[1]SADC!X51-X51,0)</f>
        <v>0</v>
      </c>
      <c r="Z51" s="182">
        <f>+IF(X51+[1]SADC!X51-[1]SADC!W51-W51&gt;0,X51+[1]SADC!X51-[1]SADC!W51-W51,0)</f>
        <v>518346.74000000005</v>
      </c>
      <c r="AA51" s="182">
        <f>+IF(Y51+[1]SADC!Y51-[1]SADC!Z51-Z51&gt;0,Y51+[1]SADC!Y51-[1]SADC!Z51-Z51,0)</f>
        <v>0</v>
      </c>
      <c r="AB51" s="182">
        <f>+IF(Z51+[1]SADC!Z51-[1]SADC!Y51-Y51&gt;0,Z51+[1]SADC!Z51-[1]SADC!Y51-Y51,0)</f>
        <v>518346.74000000005</v>
      </c>
      <c r="AC51" s="181"/>
      <c r="AD51" s="182">
        <f t="shared" si="0"/>
        <v>0</v>
      </c>
      <c r="AE51" s="182">
        <f t="shared" si="0"/>
        <v>518346.74000000005</v>
      </c>
      <c r="AF51" s="181"/>
    </row>
    <row r="52" spans="1:32">
      <c r="A52" s="181" t="str">
        <f>+VLOOKUP(B52,'[1]coa-mgb'!A$1:B$65536,2,0)</f>
        <v>Construction in Progress - Buildings &amp; Other Structures</v>
      </c>
      <c r="B52" s="184" t="s">
        <v>72</v>
      </c>
      <c r="C52" s="182">
        <f>+SUMIFS('[1]10610030 00'!$F$1:$F$65536,'[1]10610030 00'!$D$1:$D$65536,"Beginning Balance",'[1]10610030 00'!$D$1:$D$65536,"Beginning Balance")</f>
        <v>6521489.2300000004</v>
      </c>
      <c r="D52" s="182">
        <f>+SUMIFS('[1]10610030 00'!$H$1:$H$65536,'[1]10610030 00'!$D$1:$D$65536,"Beginning Balance",'[1]10610030 00'!$D$1:$D$65536,"Beginning Balance")</f>
        <v>0</v>
      </c>
      <c r="E52" s="182">
        <f>+IF(C52+[1]SADC!C52-[1]SADC!D52-D52&gt;0,C52+[1]SADC!C52-[1]SADC!D52-D52,0)</f>
        <v>6521489.2300000004</v>
      </c>
      <c r="F52" s="182">
        <f>+IF(D52+[1]SADC!D52-[1]SADC!C52-C52&gt;0,D52+[1]SADC!D52-[1]SADC!C52-C52,0)</f>
        <v>0</v>
      </c>
      <c r="G52" s="182">
        <f>+IF(E52+[1]SADC!E52-[1]SADC!F52-F52&gt;0,E52+[1]SADC!E52-[1]SADC!F52-F52,0)</f>
        <v>6521489.2300000004</v>
      </c>
      <c r="H52" s="182">
        <f>+IF(F52+[1]SADC!F52-[1]SADC!E52-E52&gt;0,F52+[1]SADC!F52-[1]SADC!E52-E52,0)</f>
        <v>0</v>
      </c>
      <c r="I52" s="182">
        <f>+IF(G52+[1]SADC!G52-[1]SADC!H52-H52&gt;0,G52+[1]SADC!G52-[1]SADC!H52-H52,0)</f>
        <v>6521489.2300000004</v>
      </c>
      <c r="J52" s="182">
        <f>+IF(H52+[1]SADC!H52-[1]SADC!G52-G52&gt;0,H52+[1]SADC!H52-[1]SADC!G52-G52,0)</f>
        <v>0</v>
      </c>
      <c r="K52" s="182">
        <f>+IF(I52+[1]SADC!I52-[1]SADC!J52-J52&gt;0,I52+[1]SADC!I52-[1]SADC!J52-J52,0)</f>
        <v>6521489.2300000004</v>
      </c>
      <c r="L52" s="182">
        <f>+IF(J52+[1]SADC!J52-[1]SADC!I52-I52&gt;0,J52+[1]SADC!J52-[1]SADC!I52-I52,0)</f>
        <v>0</v>
      </c>
      <c r="M52" s="182">
        <f>+IF(K52+[1]SADC!K52-[1]SADC!L52-L52&gt;0,K52+[1]SADC!K52-[1]SADC!L52-L52,0)</f>
        <v>6521489.2300000004</v>
      </c>
      <c r="N52" s="182">
        <f>+IF(L52+[1]SADC!L52-[1]SADC!K52-K52&gt;0,L52+[1]SADC!L52-[1]SADC!K52-K52,0)</f>
        <v>0</v>
      </c>
      <c r="O52" s="182">
        <f>+IF(M52+[1]SADC!M52-[1]SADC!N52-N52&gt;0,M52+[1]SADC!M52-[1]SADC!N52-N52,0)</f>
        <v>6521489.2300000004</v>
      </c>
      <c r="P52" s="182">
        <f>+IF(N52+[1]SADC!N52-[1]SADC!M52-M52&gt;0,N52+[1]SADC!N52-[1]SADC!M52-M52,0)</f>
        <v>0</v>
      </c>
      <c r="Q52" s="182">
        <f>+IF(O52+[1]SADC!O52-[1]SADC!P52-P52&gt;0,O52+[1]SADC!O52-[1]SADC!P52-P52,0)</f>
        <v>6521489.2300000004</v>
      </c>
      <c r="R52" s="182">
        <f>+IF(P52+[1]SADC!P52-[1]SADC!O52-O52&gt;0,P52+[1]SADC!P52-[1]SADC!O52-O52,0)</f>
        <v>0</v>
      </c>
      <c r="S52" s="182">
        <f>+IF(Q52+[1]SADC!Q52-[1]SADC!R52-R52&gt;0,Q52+[1]SADC!Q52-[1]SADC!R52-R52,0)</f>
        <v>6521489.2300000004</v>
      </c>
      <c r="T52" s="182">
        <f>+IF(R52+[1]SADC!R52-[1]SADC!Q52-Q52&gt;0,R52+[1]SADC!R52-[1]SADC!Q52-Q52,0)</f>
        <v>0</v>
      </c>
      <c r="U52" s="182">
        <f>+IF(S52+[1]SADC!S52-[1]SADC!T52-T52&gt;0,S52+[1]SADC!S52-[1]SADC!T52-T52,0)</f>
        <v>6521489.2300000004</v>
      </c>
      <c r="V52" s="182">
        <f>+IF(T52+[1]SADC!T52-[1]SADC!S52-S52&gt;0,T52+[1]SADC!T52-[1]SADC!S52-S52,0)</f>
        <v>0</v>
      </c>
      <c r="W52" s="182">
        <f>+IF(U52+[1]SADC!U52-[1]SADC!V52-V52&gt;0,U52+[1]SADC!U52-[1]SADC!V52-V52,0)</f>
        <v>6521489.2300000004</v>
      </c>
      <c r="X52" s="182">
        <f>+IF(V52+[1]SADC!V52-[1]SADC!U52-U52&gt;0,V52+[1]SADC!V52-[1]SADC!U52-U52,0)</f>
        <v>0</v>
      </c>
      <c r="Y52" s="182">
        <f>+IF(W52+[1]SADC!W52-[1]SADC!X52-X52&gt;0,W52+[1]SADC!W52-[1]SADC!X52-X52,0)</f>
        <v>6521489.2300000004</v>
      </c>
      <c r="Z52" s="182">
        <f>+IF(X52+[1]SADC!X52-[1]SADC!W52-W52&gt;0,X52+[1]SADC!X52-[1]SADC!W52-W52,0)</f>
        <v>0</v>
      </c>
      <c r="AA52" s="182">
        <f>+IF(Y52+[1]SADC!Y52-[1]SADC!Z52-Z52&gt;0,Y52+[1]SADC!Y52-[1]SADC!Z52-Z52,0)</f>
        <v>6521489.2300000004</v>
      </c>
      <c r="AB52" s="182">
        <f>+IF(Z52+[1]SADC!Z52-[1]SADC!Y52-Y52&gt;0,Z52+[1]SADC!Z52-[1]SADC!Y52-Y52,0)</f>
        <v>0</v>
      </c>
      <c r="AC52" s="181"/>
      <c r="AD52" s="182">
        <f t="shared" si="0"/>
        <v>6521489.2300000004</v>
      </c>
      <c r="AE52" s="182">
        <f t="shared" si="0"/>
        <v>0</v>
      </c>
      <c r="AF52" s="181"/>
    </row>
    <row r="53" spans="1:32">
      <c r="A53" s="181" t="str">
        <f>+VLOOKUP(B53,'[1]coa-mgb'!A$1:B$65536,2,0)</f>
        <v>Other Property,Plant and Equipment</v>
      </c>
      <c r="B53" s="184" t="s">
        <v>73</v>
      </c>
      <c r="C53" s="182">
        <f>+SUMIFS('[1]10699990 00'!$F$1:$F$65536,'[1]10699990 00'!$D$1:$D$65536,"Beginning Balance",'[1]10699990 00'!$D$1:$D$65536,"Beginning Balance")</f>
        <v>691130</v>
      </c>
      <c r="D53" s="182">
        <f>+SUMIFS('[1]10699990 00'!$H$1:$H$65536,'[1]10699990 00'!$D$1:$D$65536,"Beginning Balance",'[1]10699990 00'!$D$1:$D$65536,"Beginning Balance")</f>
        <v>0</v>
      </c>
      <c r="E53" s="182">
        <f>+IF(C53+[1]SADC!C53-[1]SADC!D53-D53&gt;0,C53+[1]SADC!C53-[1]SADC!D53-D53,0)</f>
        <v>691130</v>
      </c>
      <c r="F53" s="182">
        <f>+IF(D53+[1]SADC!D53-[1]SADC!C53-C53&gt;0,D53+[1]SADC!D53-[1]SADC!C53-C53,0)</f>
        <v>0</v>
      </c>
      <c r="G53" s="182">
        <f>+IF(E53+[1]SADC!E53-[1]SADC!F53-F53&gt;0,E53+[1]SADC!E53-[1]SADC!F53-F53,0)</f>
        <v>691130</v>
      </c>
      <c r="H53" s="182">
        <f>+IF(F53+[1]SADC!F53-[1]SADC!E53-E53&gt;0,F53+[1]SADC!F53-[1]SADC!E53-E53,0)</f>
        <v>0</v>
      </c>
      <c r="I53" s="182">
        <f>+IF(G53+[1]SADC!G53-[1]SADC!H53-H53&gt;0,G53+[1]SADC!G53-[1]SADC!H53-H53,0)</f>
        <v>714920</v>
      </c>
      <c r="J53" s="182">
        <f>+IF(H53+[1]SADC!H53-[1]SADC!G53-G53&gt;0,H53+[1]SADC!H53-[1]SADC!G53-G53,0)</f>
        <v>0</v>
      </c>
      <c r="K53" s="182">
        <f>+IF(I53+[1]SADC!I53-[1]SADC!J53-J53&gt;0,I53+[1]SADC!I53-[1]SADC!J53-J53,0)</f>
        <v>714920</v>
      </c>
      <c r="L53" s="182">
        <f>+IF(J53+[1]SADC!J53-[1]SADC!I53-I53&gt;0,J53+[1]SADC!J53-[1]SADC!I53-I53,0)</f>
        <v>0</v>
      </c>
      <c r="M53" s="182">
        <f>+IF(K53+[1]SADC!K53-[1]SADC!L53-L53&gt;0,K53+[1]SADC!K53-[1]SADC!L53-L53,0)</f>
        <v>714920</v>
      </c>
      <c r="N53" s="182">
        <f>+IF(L53+[1]SADC!L53-[1]SADC!K53-K53&gt;0,L53+[1]SADC!L53-[1]SADC!K53-K53,0)</f>
        <v>0</v>
      </c>
      <c r="O53" s="182">
        <f>+IF(M53+[1]SADC!M53-[1]SADC!N53-N53&gt;0,M53+[1]SADC!M53-[1]SADC!N53-N53,0)</f>
        <v>714920</v>
      </c>
      <c r="P53" s="182">
        <f>+IF(N53+[1]SADC!N53-[1]SADC!M53-M53&gt;0,N53+[1]SADC!N53-[1]SADC!M53-M53,0)</f>
        <v>0</v>
      </c>
      <c r="Q53" s="182">
        <f>+IF(O53+[1]SADC!O53-[1]SADC!P53-P53&gt;0,O53+[1]SADC!O53-[1]SADC!P53-P53,0)</f>
        <v>714920</v>
      </c>
      <c r="R53" s="182">
        <f>+IF(P53+[1]SADC!P53-[1]SADC!O53-O53&gt;0,P53+[1]SADC!P53-[1]SADC!O53-O53,0)</f>
        <v>0</v>
      </c>
      <c r="S53" s="182">
        <f>+IF(Q53+[1]SADC!Q53-[1]SADC!R53-R53&gt;0,Q53+[1]SADC!Q53-[1]SADC!R53-R53,0)</f>
        <v>714920</v>
      </c>
      <c r="T53" s="182">
        <f>+IF(R53+[1]SADC!R53-[1]SADC!Q53-Q53&gt;0,R53+[1]SADC!R53-[1]SADC!Q53-Q53,0)</f>
        <v>0</v>
      </c>
      <c r="U53" s="182">
        <f>+IF(S53+[1]SADC!S53-[1]SADC!T53-T53&gt;0,S53+[1]SADC!S53-[1]SADC!T53-T53,0)</f>
        <v>714920</v>
      </c>
      <c r="V53" s="182">
        <f>+IF(T53+[1]SADC!T53-[1]SADC!S53-S53&gt;0,T53+[1]SADC!T53-[1]SADC!S53-S53,0)</f>
        <v>0</v>
      </c>
      <c r="W53" s="182">
        <f>+IF(U53+[1]SADC!U53-[1]SADC!V53-V53&gt;0,U53+[1]SADC!U53-[1]SADC!V53-V53,0)</f>
        <v>714920</v>
      </c>
      <c r="X53" s="182">
        <f>+IF(V53+[1]SADC!V53-[1]SADC!U53-U53&gt;0,V53+[1]SADC!V53-[1]SADC!U53-U53,0)</f>
        <v>0</v>
      </c>
      <c r="Y53" s="182">
        <f>+IF(W53+[1]SADC!W53-[1]SADC!X53-X53&gt;0,W53+[1]SADC!W53-[1]SADC!X53-X53,0)</f>
        <v>714920</v>
      </c>
      <c r="Z53" s="182">
        <f>+IF(X53+[1]SADC!X53-[1]SADC!W53-W53&gt;0,X53+[1]SADC!X53-[1]SADC!W53-W53,0)</f>
        <v>0</v>
      </c>
      <c r="AA53" s="182">
        <f>+IF(Y53+[1]SADC!Y53-[1]SADC!Z53-Z53&gt;0,Y53+[1]SADC!Y53-[1]SADC!Z53-Z53,0)</f>
        <v>714920</v>
      </c>
      <c r="AB53" s="182">
        <f>+IF(Z53+[1]SADC!Z53-[1]SADC!Y53-Y53&gt;0,Z53+[1]SADC!Z53-[1]SADC!Y53-Y53,0)</f>
        <v>0</v>
      </c>
      <c r="AC53" s="181"/>
      <c r="AD53" s="182">
        <f t="shared" si="0"/>
        <v>714920</v>
      </c>
      <c r="AE53" s="182">
        <f t="shared" si="0"/>
        <v>0</v>
      </c>
      <c r="AF53" s="181"/>
    </row>
    <row r="54" spans="1:32">
      <c r="A54" s="181" t="str">
        <f>+VLOOKUP(B54,'[1]coa-mgb'!A$1:B$65536,2,0)</f>
        <v>Accumulated Depreciation - Other Property, Plant &amp; Eqp't</v>
      </c>
      <c r="B54" s="184" t="s">
        <v>74</v>
      </c>
      <c r="C54" s="182">
        <f>+SUMIFS('[1]10699991 00'!$F$1:$F$65536,'[1]10699991 00'!$D$1:$D$65536,"Beginning Balance",'[1]10699991 00'!$D$1:$D$65536,"Beginning Balance")</f>
        <v>0</v>
      </c>
      <c r="D54" s="182">
        <f>+SUMIFS('[1]10699991 00'!$H$1:$H$65536,'[1]10699991 00'!$D$1:$D$65536,"Beginning Balance",'[1]10699991 00'!$D$1:$D$65536,"Beginning Balance")</f>
        <v>386157.58</v>
      </c>
      <c r="E54" s="182">
        <f>+IF(C54+[1]SADC!C54-[1]SADC!D54-D54&gt;0,C54+[1]SADC!C54-[1]SADC!D54-D54,0)</f>
        <v>0</v>
      </c>
      <c r="F54" s="182">
        <f>+IF(D54+[1]SADC!D54-[1]SADC!C54-C54&gt;0,D54+[1]SADC!D54-[1]SADC!C54-C54,0)</f>
        <v>392946.83</v>
      </c>
      <c r="G54" s="182">
        <f>+IF(E54+[1]SADC!E54-[1]SADC!F54-F54&gt;0,E54+[1]SADC!E54-[1]SADC!F54-F54,0)</f>
        <v>0</v>
      </c>
      <c r="H54" s="182">
        <f>+IF(F54+[1]SADC!F54-[1]SADC!E54-E54&gt;0,F54+[1]SADC!F54-[1]SADC!E54-E54,0)</f>
        <v>399736.09</v>
      </c>
      <c r="I54" s="182">
        <f>+IF(G54+[1]SADC!G54-[1]SADC!H54-H54&gt;0,G54+[1]SADC!G54-[1]SADC!H54-H54,0)</f>
        <v>0</v>
      </c>
      <c r="J54" s="182">
        <f>+IF(H54+[1]SADC!H54-[1]SADC!G54-G54&gt;0,H54+[1]SADC!H54-[1]SADC!G54-G54,0)</f>
        <v>415387.22000000003</v>
      </c>
      <c r="K54" s="182">
        <f>+IF(I54+[1]SADC!I54-[1]SADC!J54-J54&gt;0,I54+[1]SADC!I54-[1]SADC!J54-J54,0)</f>
        <v>0</v>
      </c>
      <c r="L54" s="182">
        <f>+IF(J54+[1]SADC!J54-[1]SADC!I54-I54&gt;0,J54+[1]SADC!J54-[1]SADC!I54-I54,0)</f>
        <v>415387.22000000003</v>
      </c>
      <c r="M54" s="182">
        <f>+IF(K54+[1]SADC!K54-[1]SADC!L54-L54&gt;0,K54+[1]SADC!K54-[1]SADC!L54-L54,0)</f>
        <v>0</v>
      </c>
      <c r="N54" s="182">
        <f>+IF(L54+[1]SADC!L54-[1]SADC!K54-K54&gt;0,L54+[1]SADC!L54-[1]SADC!K54-K54,0)</f>
        <v>415387.22000000003</v>
      </c>
      <c r="O54" s="182">
        <f>+IF(M54+[1]SADC!M54-[1]SADC!N54-N54&gt;0,M54+[1]SADC!M54-[1]SADC!N54-N54,0)</f>
        <v>0</v>
      </c>
      <c r="P54" s="182">
        <f>+IF(N54+[1]SADC!N54-[1]SADC!M54-M54&gt;0,N54+[1]SADC!N54-[1]SADC!M54-M54,0)</f>
        <v>415387.22000000003</v>
      </c>
      <c r="Q54" s="182">
        <f>+IF(O54+[1]SADC!O54-[1]SADC!P54-P54&gt;0,O54+[1]SADC!O54-[1]SADC!P54-P54,0)</f>
        <v>0</v>
      </c>
      <c r="R54" s="182">
        <f>+IF(P54+[1]SADC!P54-[1]SADC!O54-O54&gt;0,P54+[1]SADC!P54-[1]SADC!O54-O54,0)</f>
        <v>415387.22000000003</v>
      </c>
      <c r="S54" s="182">
        <f>+IF(Q54+[1]SADC!Q54-[1]SADC!R54-R54&gt;0,Q54+[1]SADC!Q54-[1]SADC!R54-R54,0)</f>
        <v>0</v>
      </c>
      <c r="T54" s="182">
        <f>+IF(R54+[1]SADC!R54-[1]SADC!Q54-Q54&gt;0,R54+[1]SADC!R54-[1]SADC!Q54-Q54,0)</f>
        <v>415387.22000000003</v>
      </c>
      <c r="U54" s="182">
        <f>+IF(S54+[1]SADC!S54-[1]SADC!T54-T54&gt;0,S54+[1]SADC!S54-[1]SADC!T54-T54,0)</f>
        <v>0</v>
      </c>
      <c r="V54" s="182">
        <f>+IF(T54+[1]SADC!T54-[1]SADC!S54-S54&gt;0,T54+[1]SADC!T54-[1]SADC!S54-S54,0)</f>
        <v>415387.22000000003</v>
      </c>
      <c r="W54" s="182">
        <f>+IF(U54+[1]SADC!U54-[1]SADC!V54-V54&gt;0,U54+[1]SADC!U54-[1]SADC!V54-V54,0)</f>
        <v>0</v>
      </c>
      <c r="X54" s="182">
        <f>+IF(V54+[1]SADC!V54-[1]SADC!U54-U54&gt;0,V54+[1]SADC!V54-[1]SADC!U54-U54,0)</f>
        <v>415387.22000000003</v>
      </c>
      <c r="Y54" s="182">
        <f>+IF(W54+[1]SADC!W54-[1]SADC!X54-X54&gt;0,W54+[1]SADC!W54-[1]SADC!X54-X54,0)</f>
        <v>0</v>
      </c>
      <c r="Z54" s="182">
        <f>+IF(X54+[1]SADC!X54-[1]SADC!W54-W54&gt;0,X54+[1]SADC!X54-[1]SADC!W54-W54,0)</f>
        <v>415387.22000000003</v>
      </c>
      <c r="AA54" s="182">
        <f>+IF(Y54+[1]SADC!Y54-[1]SADC!Z54-Z54&gt;0,Y54+[1]SADC!Y54-[1]SADC!Z54-Z54,0)</f>
        <v>0</v>
      </c>
      <c r="AB54" s="182">
        <f>+IF(Z54+[1]SADC!Z54-[1]SADC!Y54-Y54&gt;0,Z54+[1]SADC!Z54-[1]SADC!Y54-Y54,0)</f>
        <v>415387.22000000003</v>
      </c>
      <c r="AC54" s="181"/>
      <c r="AD54" s="182">
        <f t="shared" si="0"/>
        <v>0</v>
      </c>
      <c r="AE54" s="182">
        <f t="shared" si="0"/>
        <v>415387.22000000003</v>
      </c>
      <c r="AF54" s="181"/>
    </row>
    <row r="55" spans="1:32">
      <c r="A55" s="181" t="str">
        <f>+VLOOKUP(B55,'[1]coa-mgb'!A$1:B$65536,2,0)</f>
        <v>Computer Software</v>
      </c>
      <c r="B55" s="184" t="s">
        <v>75</v>
      </c>
      <c r="C55" s="182">
        <f>+SUMIFS('[1]10801020 00'!$F$1:$F$65536,'[1]10801020 00'!$D$1:$D$65536,"Beginning Balance",'[1]10801020 00'!$D$1:$D$65536,"Beginning Balance")</f>
        <v>0</v>
      </c>
      <c r="D55" s="182">
        <f>+SUMIFS('[1]10801020 00'!$H$1:$H$65536,'[1]10801020 00'!$D$1:$D$65536,"Beginning Balance",'[1]10801020 00'!$D$1:$D$65536,"Beginning Balance")</f>
        <v>0</v>
      </c>
      <c r="E55" s="182">
        <f>+IF(C55+[1]SADC!C55-[1]SADC!D55-D55&gt;0,C55+[1]SADC!C55-[1]SADC!D55-D55,0)</f>
        <v>0</v>
      </c>
      <c r="F55" s="182">
        <f>+IF(D55+[1]SADC!D55-[1]SADC!C55-C55&gt;0,D55+[1]SADC!D55-[1]SADC!C55-C55,0)</f>
        <v>0</v>
      </c>
      <c r="G55" s="182">
        <f>+IF(E55+[1]SADC!E55-[1]SADC!F55-F55&gt;0,E55+[1]SADC!E55-[1]SADC!F55-F55,0)</f>
        <v>0</v>
      </c>
      <c r="H55" s="182">
        <f>+IF(F55+[1]SADC!F55-[1]SADC!E55-E55&gt;0,F55+[1]SADC!F55-[1]SADC!E55-E55,0)</f>
        <v>0</v>
      </c>
      <c r="I55" s="182">
        <f>+IF(G55+[1]SADC!G55-[1]SADC!H55-H55&gt;0,G55+[1]SADC!G55-[1]SADC!H55-H55,0)</f>
        <v>0</v>
      </c>
      <c r="J55" s="182">
        <f>+IF(H55+[1]SADC!H55-[1]SADC!G55-G55&gt;0,H55+[1]SADC!H55-[1]SADC!G55-G55,0)</f>
        <v>0</v>
      </c>
      <c r="K55" s="182">
        <f>+IF(I55+[1]SADC!I55-[1]SADC!J55-J55&gt;0,I55+[1]SADC!I55-[1]SADC!J55-J55,0)</f>
        <v>0</v>
      </c>
      <c r="L55" s="182">
        <f>+IF(J55+[1]SADC!J55-[1]SADC!I55-I55&gt;0,J55+[1]SADC!J55-[1]SADC!I55-I55,0)</f>
        <v>0</v>
      </c>
      <c r="M55" s="182">
        <f>+IF(K55+[1]SADC!K55-[1]SADC!L55-L55&gt;0,K55+[1]SADC!K55-[1]SADC!L55-L55,0)</f>
        <v>0</v>
      </c>
      <c r="N55" s="182">
        <f>+IF(L55+[1]SADC!L55-[1]SADC!K55-K55&gt;0,L55+[1]SADC!L55-[1]SADC!K55-K55,0)</f>
        <v>0</v>
      </c>
      <c r="O55" s="182">
        <f>+IF(M55+[1]SADC!M55-[1]SADC!N55-N55&gt;0,M55+[1]SADC!M55-[1]SADC!N55-N55,0)</f>
        <v>0</v>
      </c>
      <c r="P55" s="182">
        <f>+IF(N55+[1]SADC!N55-[1]SADC!M55-M55&gt;0,N55+[1]SADC!N55-[1]SADC!M55-M55,0)</f>
        <v>0</v>
      </c>
      <c r="Q55" s="182">
        <f>+IF(O55+[1]SADC!O55-[1]SADC!P55-P55&gt;0,O55+[1]SADC!O55-[1]SADC!P55-P55,0)</f>
        <v>0</v>
      </c>
      <c r="R55" s="182">
        <f>+IF(P55+[1]SADC!P55-[1]SADC!O55-O55&gt;0,P55+[1]SADC!P55-[1]SADC!O55-O55,0)</f>
        <v>0</v>
      </c>
      <c r="S55" s="182">
        <f>+IF(Q55+[1]SADC!Q55-[1]SADC!R55-R55&gt;0,Q55+[1]SADC!Q55-[1]SADC!R55-R55,0)</f>
        <v>0</v>
      </c>
      <c r="T55" s="182">
        <f>+IF(R55+[1]SADC!R55-[1]SADC!Q55-Q55&gt;0,R55+[1]SADC!R55-[1]SADC!Q55-Q55,0)</f>
        <v>0</v>
      </c>
      <c r="U55" s="182">
        <f>+IF(S55+[1]SADC!S55-[1]SADC!T55-T55&gt;0,S55+[1]SADC!S55-[1]SADC!T55-T55,0)</f>
        <v>0</v>
      </c>
      <c r="V55" s="182">
        <f>+IF(T55+[1]SADC!T55-[1]SADC!S55-S55&gt;0,T55+[1]SADC!T55-[1]SADC!S55-S55,0)</f>
        <v>0</v>
      </c>
      <c r="W55" s="182">
        <f>+IF(U55+[1]SADC!U55-[1]SADC!V55-V55&gt;0,U55+[1]SADC!U55-[1]SADC!V55-V55,0)</f>
        <v>0</v>
      </c>
      <c r="X55" s="182">
        <f>+IF(V55+[1]SADC!V55-[1]SADC!U55-U55&gt;0,V55+[1]SADC!V55-[1]SADC!U55-U55,0)</f>
        <v>0</v>
      </c>
      <c r="Y55" s="182">
        <f>+IF(W55+[1]SADC!W55-[1]SADC!X55-X55&gt;0,W55+[1]SADC!W55-[1]SADC!X55-X55,0)</f>
        <v>0</v>
      </c>
      <c r="Z55" s="182">
        <f>+IF(X55+[1]SADC!X55-[1]SADC!W55-W55&gt;0,X55+[1]SADC!X55-[1]SADC!W55-W55,0)</f>
        <v>0</v>
      </c>
      <c r="AA55" s="182">
        <f>+IF(Y55+[1]SADC!Y55-[1]SADC!Z55-Z55&gt;0,Y55+[1]SADC!Y55-[1]SADC!Z55-Z55,0)</f>
        <v>0</v>
      </c>
      <c r="AB55" s="182">
        <f>+IF(Z55+[1]SADC!Z55-[1]SADC!Y55-Y55&gt;0,Z55+[1]SADC!Z55-[1]SADC!Y55-Y55,0)</f>
        <v>0</v>
      </c>
      <c r="AC55" s="181"/>
      <c r="AD55" s="182">
        <f t="shared" si="0"/>
        <v>0</v>
      </c>
      <c r="AE55" s="182">
        <f t="shared" si="0"/>
        <v>0</v>
      </c>
      <c r="AF55" s="181"/>
    </row>
    <row r="56" spans="1:32">
      <c r="A56" s="181" t="str">
        <f>+VLOOKUP(B56,'[1]coa-mgb'!A$1:B$65536,2,0)</f>
        <v>Advances for Payroll</v>
      </c>
      <c r="B56" s="184" t="s">
        <v>76</v>
      </c>
      <c r="C56" s="182">
        <f>+SUMIFS('[1]19901020 00'!$F$1:$F$65536,'[1]19901020 00'!$D$1:$D$65536,"Beginning Balance",'[1]19901020 00'!$D$1:$D$65536,"Beginning Balance")</f>
        <v>0</v>
      </c>
      <c r="D56" s="182">
        <f>+SUMIFS('[1]19901020 00'!$H$1:$H$65536,'[1]19901020 00'!$D$1:$D$65536,"Beginning Balance",'[1]19901020 00'!$D$1:$D$65536,"Beginning Balance")</f>
        <v>0</v>
      </c>
      <c r="E56" s="182">
        <f>+IF(C56+[1]SADC!C56-[1]SADC!D56-D56&gt;0,C56+[1]SADC!C56-[1]SADC!D56-D56,0)</f>
        <v>0</v>
      </c>
      <c r="F56" s="182">
        <f>+IF(D56+[1]SADC!D56-[1]SADC!C56-C56&gt;0,D56+[1]SADC!D56-[1]SADC!C56-C56,0)</f>
        <v>0</v>
      </c>
      <c r="G56" s="182">
        <f>+IF(E56+[1]SADC!E56-[1]SADC!F56-F56&gt;0,E56+[1]SADC!E56-[1]SADC!F56-F56,0)</f>
        <v>0</v>
      </c>
      <c r="H56" s="182">
        <f>+IF(F56+[1]SADC!F56-[1]SADC!E56-E56&gt;0,F56+[1]SADC!F56-[1]SADC!E56-E56,0)</f>
        <v>0</v>
      </c>
      <c r="I56" s="182">
        <f>+IF(G56+[1]SADC!G56-[1]SADC!H56-H56&gt;0,G56+[1]SADC!G56-[1]SADC!H56-H56,0)</f>
        <v>0</v>
      </c>
      <c r="J56" s="182">
        <f>+IF(H56+[1]SADC!H56-[1]SADC!G56-G56&gt;0,H56+[1]SADC!H56-[1]SADC!G56-G56,0)</f>
        <v>0</v>
      </c>
      <c r="K56" s="182">
        <f>+IF(I56+[1]SADC!I56-[1]SADC!J56-J56&gt;0,I56+[1]SADC!I56-[1]SADC!J56-J56,0)</f>
        <v>0</v>
      </c>
      <c r="L56" s="182">
        <f>+IF(J56+[1]SADC!J56-[1]SADC!I56-I56&gt;0,J56+[1]SADC!J56-[1]SADC!I56-I56,0)</f>
        <v>0</v>
      </c>
      <c r="M56" s="182">
        <f>+IF(K56+[1]SADC!K56-[1]SADC!L56-L56&gt;0,K56+[1]SADC!K56-[1]SADC!L56-L56,0)</f>
        <v>0</v>
      </c>
      <c r="N56" s="182">
        <f>+IF(L56+[1]SADC!L56-[1]SADC!K56-K56&gt;0,L56+[1]SADC!L56-[1]SADC!K56-K56,0)</f>
        <v>0</v>
      </c>
      <c r="O56" s="182">
        <f>+IF(M56+[1]SADC!M56-[1]SADC!N56-N56&gt;0,M56+[1]SADC!M56-[1]SADC!N56-N56,0)</f>
        <v>0</v>
      </c>
      <c r="P56" s="182">
        <f>+IF(N56+[1]SADC!N56-[1]SADC!M56-M56&gt;0,N56+[1]SADC!N56-[1]SADC!M56-M56,0)</f>
        <v>0</v>
      </c>
      <c r="Q56" s="182">
        <f>+IF(O56+[1]SADC!O56-[1]SADC!P56-P56&gt;0,O56+[1]SADC!O56-[1]SADC!P56-P56,0)</f>
        <v>0</v>
      </c>
      <c r="R56" s="182">
        <f>+IF(P56+[1]SADC!P56-[1]SADC!O56-O56&gt;0,P56+[1]SADC!P56-[1]SADC!O56-O56,0)</f>
        <v>0</v>
      </c>
      <c r="S56" s="182">
        <f>+IF(Q56+[1]SADC!Q56-[1]SADC!R56-R56&gt;0,Q56+[1]SADC!Q56-[1]SADC!R56-R56,0)</f>
        <v>0</v>
      </c>
      <c r="T56" s="182">
        <f>+IF(R56+[1]SADC!R56-[1]SADC!Q56-Q56&gt;0,R56+[1]SADC!R56-[1]SADC!Q56-Q56,0)</f>
        <v>0</v>
      </c>
      <c r="U56" s="182">
        <f>+IF(S56+[1]SADC!S56-[1]SADC!T56-T56&gt;0,S56+[1]SADC!S56-[1]SADC!T56-T56,0)</f>
        <v>0</v>
      </c>
      <c r="V56" s="182">
        <f>+IF(T56+[1]SADC!T56-[1]SADC!S56-S56&gt;0,T56+[1]SADC!T56-[1]SADC!S56-S56,0)</f>
        <v>0</v>
      </c>
      <c r="W56" s="182">
        <f>+IF(U56+[1]SADC!U56-[1]SADC!V56-V56&gt;0,U56+[1]SADC!U56-[1]SADC!V56-V56,0)</f>
        <v>0</v>
      </c>
      <c r="X56" s="182">
        <f>+IF(V56+[1]SADC!V56-[1]SADC!U56-U56&gt;0,V56+[1]SADC!V56-[1]SADC!U56-U56,0)</f>
        <v>0</v>
      </c>
      <c r="Y56" s="182">
        <f>+IF(W56+[1]SADC!W56-[1]SADC!X56-X56&gt;0,W56+[1]SADC!W56-[1]SADC!X56-X56,0)</f>
        <v>0</v>
      </c>
      <c r="Z56" s="182">
        <f>+IF(X56+[1]SADC!X56-[1]SADC!W56-W56&gt;0,X56+[1]SADC!X56-[1]SADC!W56-W56,0)</f>
        <v>0</v>
      </c>
      <c r="AA56" s="182">
        <f>+IF(Y56+[1]SADC!Y56-[1]SADC!Z56-Z56&gt;0,Y56+[1]SADC!Y56-[1]SADC!Z56-Z56,0)</f>
        <v>0</v>
      </c>
      <c r="AB56" s="182">
        <f>+IF(Z56+[1]SADC!Z56-[1]SADC!Y56-Y56&gt;0,Z56+[1]SADC!Z56-[1]SADC!Y56-Y56,0)</f>
        <v>0</v>
      </c>
      <c r="AC56" s="181"/>
      <c r="AD56" s="182">
        <f t="shared" si="0"/>
        <v>0</v>
      </c>
      <c r="AE56" s="182">
        <f t="shared" si="0"/>
        <v>0</v>
      </c>
      <c r="AF56" s="181"/>
    </row>
    <row r="57" spans="1:32">
      <c r="A57" s="181" t="str">
        <f>+VLOOKUP(B57,'[1]coa-mgb'!A$1:B$65536,2,0)</f>
        <v>Advances to Special Disbursing Officer</v>
      </c>
      <c r="B57" s="184" t="s">
        <v>77</v>
      </c>
      <c r="C57" s="182">
        <f>+SUMIFS('[1]19901030 00'!$F$1:$F$65536,'[1]19901030 00'!$D$1:$D$65536,"Beginning Balance",'[1]19901030 00'!$D$1:$D$65536,"Beginning Balance")</f>
        <v>16019</v>
      </c>
      <c r="D57" s="182">
        <f>+SUMIFS('[1]19901030 00'!$H$1:$H$65536,'[1]19901030 00'!$D$1:$D$65536,"Beginning Balance",'[1]19901030 00'!$D$1:$D$65536,"Beginning Balance")</f>
        <v>0</v>
      </c>
      <c r="E57" s="182">
        <f>+IF(C57+[1]SADC!C57-[1]SADC!D57-D57&gt;0,C57+[1]SADC!C57-[1]SADC!D57-D57,0)</f>
        <v>72319</v>
      </c>
      <c r="F57" s="182">
        <f>+IF(D57+[1]SADC!D57-[1]SADC!C57-C57&gt;0,D57+[1]SADC!D57-[1]SADC!C57-C57,0)</f>
        <v>0</v>
      </c>
      <c r="G57" s="182">
        <f>+IF(E57+[1]SADC!E57-[1]SADC!F57-F57&gt;0,E57+[1]SADC!E57-[1]SADC!F57-F57,0)</f>
        <v>93519</v>
      </c>
      <c r="H57" s="182">
        <f>+IF(F57+[1]SADC!F57-[1]SADC!E57-E57&gt;0,F57+[1]SADC!F57-[1]SADC!E57-E57,0)</f>
        <v>0</v>
      </c>
      <c r="I57" s="182">
        <f>+IF(G57+[1]SADC!G57-[1]SADC!H57-H57&gt;0,G57+[1]SADC!G57-[1]SADC!H57-H57,0)</f>
        <v>198283.99</v>
      </c>
      <c r="J57" s="182">
        <f>+IF(H57+[1]SADC!H57-[1]SADC!G57-G57&gt;0,H57+[1]SADC!H57-[1]SADC!G57-G57,0)</f>
        <v>0</v>
      </c>
      <c r="K57" s="182">
        <f>+IF(I57+[1]SADC!I57-[1]SADC!J57-J57&gt;0,I57+[1]SADC!I57-[1]SADC!J57-J57,0)</f>
        <v>198283.99</v>
      </c>
      <c r="L57" s="182">
        <f>+IF(J57+[1]SADC!J57-[1]SADC!I57-I57&gt;0,J57+[1]SADC!J57-[1]SADC!I57-I57,0)</f>
        <v>0</v>
      </c>
      <c r="M57" s="182">
        <f>+IF(K57+[1]SADC!K57-[1]SADC!L57-L57&gt;0,K57+[1]SADC!K57-[1]SADC!L57-L57,0)</f>
        <v>198283.99</v>
      </c>
      <c r="N57" s="182">
        <f>+IF(L57+[1]SADC!L57-[1]SADC!K57-K57&gt;0,L57+[1]SADC!L57-[1]SADC!K57-K57,0)</f>
        <v>0</v>
      </c>
      <c r="O57" s="182">
        <f>+IF(M57+[1]SADC!M57-[1]SADC!N57-N57&gt;0,M57+[1]SADC!M57-[1]SADC!N57-N57,0)</f>
        <v>198283.99</v>
      </c>
      <c r="P57" s="182">
        <f>+IF(N57+[1]SADC!N57-[1]SADC!M57-M57&gt;0,N57+[1]SADC!N57-[1]SADC!M57-M57,0)</f>
        <v>0</v>
      </c>
      <c r="Q57" s="182">
        <f>+IF(O57+[1]SADC!O57-[1]SADC!P57-P57&gt;0,O57+[1]SADC!O57-[1]SADC!P57-P57,0)</f>
        <v>198283.99</v>
      </c>
      <c r="R57" s="182">
        <f>+IF(P57+[1]SADC!P57-[1]SADC!O57-O57&gt;0,P57+[1]SADC!P57-[1]SADC!O57-O57,0)</f>
        <v>0</v>
      </c>
      <c r="S57" s="182">
        <f>+IF(Q57+[1]SADC!Q57-[1]SADC!R57-R57&gt;0,Q57+[1]SADC!Q57-[1]SADC!R57-R57,0)</f>
        <v>198283.99</v>
      </c>
      <c r="T57" s="182">
        <f>+IF(R57+[1]SADC!R57-[1]SADC!Q57-Q57&gt;0,R57+[1]SADC!R57-[1]SADC!Q57-Q57,0)</f>
        <v>0</v>
      </c>
      <c r="U57" s="182">
        <f>+IF(S57+[1]SADC!S57-[1]SADC!T57-T57&gt;0,S57+[1]SADC!S57-[1]SADC!T57-T57,0)</f>
        <v>198283.99</v>
      </c>
      <c r="V57" s="182">
        <f>+IF(T57+[1]SADC!T57-[1]SADC!S57-S57&gt;0,T57+[1]SADC!T57-[1]SADC!S57-S57,0)</f>
        <v>0</v>
      </c>
      <c r="W57" s="182">
        <f>+IF(U57+[1]SADC!U57-[1]SADC!V57-V57&gt;0,U57+[1]SADC!U57-[1]SADC!V57-V57,0)</f>
        <v>198283.99</v>
      </c>
      <c r="X57" s="182">
        <f>+IF(V57+[1]SADC!V57-[1]SADC!U57-U57&gt;0,V57+[1]SADC!V57-[1]SADC!U57-U57,0)</f>
        <v>0</v>
      </c>
      <c r="Y57" s="182">
        <f>+IF(W57+[1]SADC!W57-[1]SADC!X57-X57&gt;0,W57+[1]SADC!W57-[1]SADC!X57-X57,0)</f>
        <v>198283.99</v>
      </c>
      <c r="Z57" s="182">
        <f>+IF(X57+[1]SADC!X57-[1]SADC!W57-W57&gt;0,X57+[1]SADC!X57-[1]SADC!W57-W57,0)</f>
        <v>0</v>
      </c>
      <c r="AA57" s="182">
        <f>+IF(Y57+[1]SADC!Y57-[1]SADC!Z57-Z57&gt;0,Y57+[1]SADC!Y57-[1]SADC!Z57-Z57,0)</f>
        <v>198283.99</v>
      </c>
      <c r="AB57" s="182">
        <f>+IF(Z57+[1]SADC!Z57-[1]SADC!Y57-Y57&gt;0,Z57+[1]SADC!Z57-[1]SADC!Y57-Y57,0)</f>
        <v>0</v>
      </c>
      <c r="AC57" s="181"/>
      <c r="AD57" s="182">
        <f t="shared" si="0"/>
        <v>198283.99</v>
      </c>
      <c r="AE57" s="182">
        <f t="shared" si="0"/>
        <v>0</v>
      </c>
      <c r="AF57" s="181"/>
    </row>
    <row r="58" spans="1:32">
      <c r="A58" s="181" t="str">
        <f>+VLOOKUP(B58,'[1]coa-mgb'!A$1:B$65536,2,0)</f>
        <v>Advances to Officers and Employees</v>
      </c>
      <c r="B58" s="184" t="s">
        <v>78</v>
      </c>
      <c r="C58" s="182">
        <f>+SUMIFS('[1]19901040 00'!$F$1:$F$65536,'[1]19901040 00'!$D$1:$D$65536,"Beginning Balance",'[1]19901040 00'!$D$1:$D$65536,"Beginning Balance")</f>
        <v>0</v>
      </c>
      <c r="D58" s="182">
        <f>+SUMIFS('[1]19901040 00'!$H$1:$H$65536,'[1]19901040 00'!$D$1:$D$65536,"Beginning Balance",'[1]19901040 00'!$D$1:$D$65536,"Beginning Balance")</f>
        <v>0</v>
      </c>
      <c r="E58" s="182">
        <f>+IF(C58+[1]SADC!C58-[1]SADC!D58-D58&gt;0,C58+[1]SADC!C58-[1]SADC!D58-D58,0)</f>
        <v>14940</v>
      </c>
      <c r="F58" s="182">
        <f>+IF(D58+[1]SADC!D58-[1]SADC!C58-C58&gt;0,D58+[1]SADC!D58-[1]SADC!C58-C58,0)</f>
        <v>0</v>
      </c>
      <c r="G58" s="182">
        <f>+IF(E58+[1]SADC!E58-[1]SADC!F58-F58&gt;0,E58+[1]SADC!E58-[1]SADC!F58-F58,0)</f>
        <v>45262</v>
      </c>
      <c r="H58" s="182">
        <f>+IF(F58+[1]SADC!F58-[1]SADC!E58-E58&gt;0,F58+[1]SADC!F58-[1]SADC!E58-E58,0)</f>
        <v>0</v>
      </c>
      <c r="I58" s="182">
        <f>+IF(G58+[1]SADC!G58-[1]SADC!H58-H58&gt;0,G58+[1]SADC!G58-[1]SADC!H58-H58,0)</f>
        <v>151564</v>
      </c>
      <c r="J58" s="182">
        <f>+IF(H58+[1]SADC!H58-[1]SADC!G58-G58&gt;0,H58+[1]SADC!H58-[1]SADC!G58-G58,0)</f>
        <v>0</v>
      </c>
      <c r="K58" s="182">
        <f>+IF(I58+[1]SADC!I58-[1]SADC!J58-J58&gt;0,I58+[1]SADC!I58-[1]SADC!J58-J58,0)</f>
        <v>151564</v>
      </c>
      <c r="L58" s="182">
        <f>+IF(J58+[1]SADC!J58-[1]SADC!I58-I58&gt;0,J58+[1]SADC!J58-[1]SADC!I58-I58,0)</f>
        <v>0</v>
      </c>
      <c r="M58" s="182">
        <f>+IF(K58+[1]SADC!K58-[1]SADC!L58-L58&gt;0,K58+[1]SADC!K58-[1]SADC!L58-L58,0)</f>
        <v>151564</v>
      </c>
      <c r="N58" s="182">
        <f>+IF(L58+[1]SADC!L58-[1]SADC!K58-K58&gt;0,L58+[1]SADC!L58-[1]SADC!K58-K58,0)</f>
        <v>0</v>
      </c>
      <c r="O58" s="182">
        <f>+IF(M58+[1]SADC!M58-[1]SADC!N58-N58&gt;0,M58+[1]SADC!M58-[1]SADC!N58-N58,0)</f>
        <v>151564</v>
      </c>
      <c r="P58" s="182">
        <f>+IF(N58+[1]SADC!N58-[1]SADC!M58-M58&gt;0,N58+[1]SADC!N58-[1]SADC!M58-M58,0)</f>
        <v>0</v>
      </c>
      <c r="Q58" s="182">
        <f>+IF(O58+[1]SADC!O58-[1]SADC!P58-P58&gt;0,O58+[1]SADC!O58-[1]SADC!P58-P58,0)</f>
        <v>151564</v>
      </c>
      <c r="R58" s="182">
        <f>+IF(P58+[1]SADC!P58-[1]SADC!O58-O58&gt;0,P58+[1]SADC!P58-[1]SADC!O58-O58,0)</f>
        <v>0</v>
      </c>
      <c r="S58" s="182">
        <f>+IF(Q58+[1]SADC!Q58-[1]SADC!R58-R58&gt;0,Q58+[1]SADC!Q58-[1]SADC!R58-R58,0)</f>
        <v>151564</v>
      </c>
      <c r="T58" s="182">
        <f>+IF(R58+[1]SADC!R58-[1]SADC!Q58-Q58&gt;0,R58+[1]SADC!R58-[1]SADC!Q58-Q58,0)</f>
        <v>0</v>
      </c>
      <c r="U58" s="182">
        <f>+IF(S58+[1]SADC!S58-[1]SADC!T58-T58&gt;0,S58+[1]SADC!S58-[1]SADC!T58-T58,0)</f>
        <v>151564</v>
      </c>
      <c r="V58" s="182">
        <f>+IF(T58+[1]SADC!T58-[1]SADC!S58-S58&gt;0,T58+[1]SADC!T58-[1]SADC!S58-S58,0)</f>
        <v>0</v>
      </c>
      <c r="W58" s="182">
        <f>+IF(U58+[1]SADC!U58-[1]SADC!V58-V58&gt;0,U58+[1]SADC!U58-[1]SADC!V58-V58,0)</f>
        <v>151564</v>
      </c>
      <c r="X58" s="182">
        <f>+IF(V58+[1]SADC!V58-[1]SADC!U58-U58&gt;0,V58+[1]SADC!V58-[1]SADC!U58-U58,0)</f>
        <v>0</v>
      </c>
      <c r="Y58" s="182">
        <f>+IF(W58+[1]SADC!W58-[1]SADC!X58-X58&gt;0,W58+[1]SADC!W58-[1]SADC!X58-X58,0)</f>
        <v>151564</v>
      </c>
      <c r="Z58" s="182">
        <f>+IF(X58+[1]SADC!X58-[1]SADC!W58-W58&gt;0,X58+[1]SADC!X58-[1]SADC!W58-W58,0)</f>
        <v>0</v>
      </c>
      <c r="AA58" s="182">
        <f>+IF(Y58+[1]SADC!Y58-[1]SADC!Z58-Z58&gt;0,Y58+[1]SADC!Y58-[1]SADC!Z58-Z58,0)</f>
        <v>151564</v>
      </c>
      <c r="AB58" s="182">
        <f>+IF(Z58+[1]SADC!Z58-[1]SADC!Y58-Y58&gt;0,Z58+[1]SADC!Z58-[1]SADC!Y58-Y58,0)</f>
        <v>0</v>
      </c>
      <c r="AC58" s="181"/>
      <c r="AD58" s="182">
        <f t="shared" si="0"/>
        <v>151564</v>
      </c>
      <c r="AE58" s="182">
        <f t="shared" si="0"/>
        <v>0</v>
      </c>
      <c r="AF58" s="181"/>
    </row>
    <row r="59" spans="1:32">
      <c r="A59" s="181" t="str">
        <f>+VLOOKUP(B59,'[1]coa-mgb'!A$1:B$65536,2,0)</f>
        <v>Advances to Contractors</v>
      </c>
      <c r="B59" s="184" t="s">
        <v>79</v>
      </c>
      <c r="C59" s="182">
        <f>+SUMIFS('[1]19902010 00'!$F$1:$F$65536,'[1]19902010 00'!$D$1:$D$65536,"Beginning Balance",'[1]19902010 00'!$D$1:$D$65536,"Beginning Balance")</f>
        <v>22453.759999999995</v>
      </c>
      <c r="D59" s="182">
        <f>+SUMIFS('[1]19902010 00'!$H$1:$H$65536,'[1]19902010 00'!$D$1:$D$65536,"Beginning Balance",'[1]19902010 00'!$D$1:$D$65536,"Beginning Balance")</f>
        <v>0</v>
      </c>
      <c r="E59" s="182">
        <f>+IF(C59+[1]SADC!C59-[1]SADC!D59-D59&gt;0,C59+[1]SADC!C59-[1]SADC!D59-D59,0)</f>
        <v>22453.759999999995</v>
      </c>
      <c r="F59" s="182">
        <f>+IF(D59+[1]SADC!D59-[1]SADC!C59-C59&gt;0,D59+[1]SADC!D59-[1]SADC!C59-C59,0)</f>
        <v>0</v>
      </c>
      <c r="G59" s="182">
        <f>+IF(E59+[1]SADC!E59-[1]SADC!F59-F59&gt;0,E59+[1]SADC!E59-[1]SADC!F59-F59,0)</f>
        <v>22453.759999999995</v>
      </c>
      <c r="H59" s="182">
        <f>+IF(F59+[1]SADC!F59-[1]SADC!E59-E59&gt;0,F59+[1]SADC!F59-[1]SADC!E59-E59,0)</f>
        <v>0</v>
      </c>
      <c r="I59" s="182">
        <f>+IF(G59+[1]SADC!G59-[1]SADC!H59-H59&gt;0,G59+[1]SADC!G59-[1]SADC!H59-H59,0)</f>
        <v>22453.759999999995</v>
      </c>
      <c r="J59" s="182">
        <f>+IF(H59+[1]SADC!H59-[1]SADC!G59-G59&gt;0,H59+[1]SADC!H59-[1]SADC!G59-G59,0)</f>
        <v>0</v>
      </c>
      <c r="K59" s="182">
        <f>+IF(I59+[1]SADC!I59-[1]SADC!J59-J59&gt;0,I59+[1]SADC!I59-[1]SADC!J59-J59,0)</f>
        <v>22453.759999999995</v>
      </c>
      <c r="L59" s="182">
        <f>+IF(J59+[1]SADC!J59-[1]SADC!I59-I59&gt;0,J59+[1]SADC!J59-[1]SADC!I59-I59,0)</f>
        <v>0</v>
      </c>
      <c r="M59" s="182">
        <f>+IF(K59+[1]SADC!K59-[1]SADC!L59-L59&gt;0,K59+[1]SADC!K59-[1]SADC!L59-L59,0)</f>
        <v>22453.759999999995</v>
      </c>
      <c r="N59" s="182">
        <f>+IF(L59+[1]SADC!L59-[1]SADC!K59-K59&gt;0,L59+[1]SADC!L59-[1]SADC!K59-K59,0)</f>
        <v>0</v>
      </c>
      <c r="O59" s="182">
        <f>+IF(M59+[1]SADC!M59-[1]SADC!N59-N59&gt;0,M59+[1]SADC!M59-[1]SADC!N59-N59,0)</f>
        <v>22453.759999999995</v>
      </c>
      <c r="P59" s="182">
        <f>+IF(N59+[1]SADC!N59-[1]SADC!M59-M59&gt;0,N59+[1]SADC!N59-[1]SADC!M59-M59,0)</f>
        <v>0</v>
      </c>
      <c r="Q59" s="182">
        <f>+IF(O59+[1]SADC!O59-[1]SADC!P59-P59&gt;0,O59+[1]SADC!O59-[1]SADC!P59-P59,0)</f>
        <v>22453.759999999995</v>
      </c>
      <c r="R59" s="182">
        <f>+IF(P59+[1]SADC!P59-[1]SADC!O59-O59&gt;0,P59+[1]SADC!P59-[1]SADC!O59-O59,0)</f>
        <v>0</v>
      </c>
      <c r="S59" s="182">
        <f>+IF(Q59+[1]SADC!Q59-[1]SADC!R59-R59&gt;0,Q59+[1]SADC!Q59-[1]SADC!R59-R59,0)</f>
        <v>22453.759999999995</v>
      </c>
      <c r="T59" s="182">
        <f>+IF(R59+[1]SADC!R59-[1]SADC!Q59-Q59&gt;0,R59+[1]SADC!R59-[1]SADC!Q59-Q59,0)</f>
        <v>0</v>
      </c>
      <c r="U59" s="182">
        <f>+IF(S59+[1]SADC!S59-[1]SADC!T59-T59&gt;0,S59+[1]SADC!S59-[1]SADC!T59-T59,0)</f>
        <v>22453.759999999995</v>
      </c>
      <c r="V59" s="182">
        <f>+IF(T59+[1]SADC!T59-[1]SADC!S59-S59&gt;0,T59+[1]SADC!T59-[1]SADC!S59-S59,0)</f>
        <v>0</v>
      </c>
      <c r="W59" s="182">
        <f>+IF(U59+[1]SADC!U59-[1]SADC!V59-V59&gt;0,U59+[1]SADC!U59-[1]SADC!V59-V59,0)</f>
        <v>22453.759999999995</v>
      </c>
      <c r="X59" s="182">
        <f>+IF(V59+[1]SADC!V59-[1]SADC!U59-U59&gt;0,V59+[1]SADC!V59-[1]SADC!U59-U59,0)</f>
        <v>0</v>
      </c>
      <c r="Y59" s="182">
        <f>+IF(W59+[1]SADC!W59-[1]SADC!X59-X59&gt;0,W59+[1]SADC!W59-[1]SADC!X59-X59,0)</f>
        <v>22453.759999999995</v>
      </c>
      <c r="Z59" s="182">
        <f>+IF(X59+[1]SADC!X59-[1]SADC!W59-W59&gt;0,X59+[1]SADC!X59-[1]SADC!W59-W59,0)</f>
        <v>0</v>
      </c>
      <c r="AA59" s="182">
        <f>+IF(Y59+[1]SADC!Y59-[1]SADC!Z59-Z59&gt;0,Y59+[1]SADC!Y59-[1]SADC!Z59-Z59,0)</f>
        <v>22453.759999999995</v>
      </c>
      <c r="AB59" s="182">
        <f>+IF(Z59+[1]SADC!Z59-[1]SADC!Y59-Y59&gt;0,Z59+[1]SADC!Z59-[1]SADC!Y59-Y59,0)</f>
        <v>0</v>
      </c>
      <c r="AC59" s="181"/>
      <c r="AD59" s="182">
        <f t="shared" si="0"/>
        <v>22453.759999999995</v>
      </c>
      <c r="AE59" s="182">
        <f t="shared" si="0"/>
        <v>0</v>
      </c>
      <c r="AF59" s="181"/>
    </row>
    <row r="60" spans="1:32">
      <c r="A60" s="181" t="str">
        <f>+VLOOKUP(B60,'[1]coa-mgb'!A$1:B$65536,2,0)</f>
        <v>Prepaid Rent</v>
      </c>
      <c r="B60" s="184" t="s">
        <v>80</v>
      </c>
      <c r="C60" s="182">
        <f>+SUMIFS('[1]19902020 00'!$F$1:$F$65536,'[1]19902020 00'!$D$1:$D$65536,"Beginning Balance",'[1]19902020 00'!$D$1:$D$65536,"Beginning Balance")</f>
        <v>0</v>
      </c>
      <c r="D60" s="182">
        <f>+SUMIFS('[1]19902020 00'!$H$1:$H$65536,'[1]19902020 00'!$D$1:$D$65536,"Beginning Balance",'[1]19902020 00'!$D$1:$D$65536,"Beginning Balance")</f>
        <v>0</v>
      </c>
      <c r="E60" s="182">
        <f>+IF(C60+[1]SADC!C60-[1]SADC!D60-D60&gt;0,C60+[1]SADC!C60-[1]SADC!D60-D60,0)</f>
        <v>0</v>
      </c>
      <c r="F60" s="182">
        <f>+IF(D60+[1]SADC!D60-[1]SADC!C60-C60&gt;0,D60+[1]SADC!D60-[1]SADC!C60-C60,0)</f>
        <v>0</v>
      </c>
      <c r="G60" s="182">
        <f>+IF(E60+[1]SADC!E60-[1]SADC!F60-F60&gt;0,E60+[1]SADC!E60-[1]SADC!F60-F60,0)</f>
        <v>0</v>
      </c>
      <c r="H60" s="182">
        <f>+IF(F60+[1]SADC!F60-[1]SADC!E60-E60&gt;0,F60+[1]SADC!F60-[1]SADC!E60-E60,0)</f>
        <v>0</v>
      </c>
      <c r="I60" s="182">
        <f>+IF(G60+[1]SADC!G60-[1]SADC!H60-H60&gt;0,G60+[1]SADC!G60-[1]SADC!H60-H60,0)</f>
        <v>0</v>
      </c>
      <c r="J60" s="182">
        <f>+IF(H60+[1]SADC!H60-[1]SADC!G60-G60&gt;0,H60+[1]SADC!H60-[1]SADC!G60-G60,0)</f>
        <v>0</v>
      </c>
      <c r="K60" s="182">
        <f>+IF(I60+[1]SADC!I60-[1]SADC!J60-J60&gt;0,I60+[1]SADC!I60-[1]SADC!J60-J60,0)</f>
        <v>0</v>
      </c>
      <c r="L60" s="182">
        <f>+IF(J60+[1]SADC!J60-[1]SADC!I60-I60&gt;0,J60+[1]SADC!J60-[1]SADC!I60-I60,0)</f>
        <v>0</v>
      </c>
      <c r="M60" s="182">
        <f>+IF(K60+[1]SADC!K60-[1]SADC!L60-L60&gt;0,K60+[1]SADC!K60-[1]SADC!L60-L60,0)</f>
        <v>0</v>
      </c>
      <c r="N60" s="182">
        <f>+IF(L60+[1]SADC!L60-[1]SADC!K60-K60&gt;0,L60+[1]SADC!L60-[1]SADC!K60-K60,0)</f>
        <v>0</v>
      </c>
      <c r="O60" s="182">
        <f>+IF(M60+[1]SADC!M60-[1]SADC!N60-N60&gt;0,M60+[1]SADC!M60-[1]SADC!N60-N60,0)</f>
        <v>0</v>
      </c>
      <c r="P60" s="182">
        <f>+IF(N60+[1]SADC!N60-[1]SADC!M60-M60&gt;0,N60+[1]SADC!N60-[1]SADC!M60-M60,0)</f>
        <v>0</v>
      </c>
      <c r="Q60" s="182">
        <f>+IF(O60+[1]SADC!O60-[1]SADC!P60-P60&gt;0,O60+[1]SADC!O60-[1]SADC!P60-P60,0)</f>
        <v>0</v>
      </c>
      <c r="R60" s="182">
        <f>+IF(P60+[1]SADC!P60-[1]SADC!O60-O60&gt;0,P60+[1]SADC!P60-[1]SADC!O60-O60,0)</f>
        <v>0</v>
      </c>
      <c r="S60" s="182">
        <f>+IF(Q60+[1]SADC!Q60-[1]SADC!R60-R60&gt;0,Q60+[1]SADC!Q60-[1]SADC!R60-R60,0)</f>
        <v>0</v>
      </c>
      <c r="T60" s="182">
        <f>+IF(R60+[1]SADC!R60-[1]SADC!Q60-Q60&gt;0,R60+[1]SADC!R60-[1]SADC!Q60-Q60,0)</f>
        <v>0</v>
      </c>
      <c r="U60" s="182">
        <f>+IF(S60+[1]SADC!S60-[1]SADC!T60-T60&gt;0,S60+[1]SADC!S60-[1]SADC!T60-T60,0)</f>
        <v>0</v>
      </c>
      <c r="V60" s="182">
        <f>+IF(T60+[1]SADC!T60-[1]SADC!S60-S60&gt;0,T60+[1]SADC!T60-[1]SADC!S60-S60,0)</f>
        <v>0</v>
      </c>
      <c r="W60" s="182">
        <f>+IF(U60+[1]SADC!U60-[1]SADC!V60-V60&gt;0,U60+[1]SADC!U60-[1]SADC!V60-V60,0)</f>
        <v>0</v>
      </c>
      <c r="X60" s="182">
        <f>+IF(V60+[1]SADC!V60-[1]SADC!U60-U60&gt;0,V60+[1]SADC!V60-[1]SADC!U60-U60,0)</f>
        <v>0</v>
      </c>
      <c r="Y60" s="182">
        <f>+IF(W60+[1]SADC!W60-[1]SADC!X60-X60&gt;0,W60+[1]SADC!W60-[1]SADC!X60-X60,0)</f>
        <v>0</v>
      </c>
      <c r="Z60" s="182">
        <f>+IF(X60+[1]SADC!X60-[1]SADC!W60-W60&gt;0,X60+[1]SADC!X60-[1]SADC!W60-W60,0)</f>
        <v>0</v>
      </c>
      <c r="AA60" s="182">
        <f>+IF(Y60+[1]SADC!Y60-[1]SADC!Z60-Z60&gt;0,Y60+[1]SADC!Y60-[1]SADC!Z60-Z60,0)</f>
        <v>0</v>
      </c>
      <c r="AB60" s="182">
        <f>+IF(Z60+[1]SADC!Z60-[1]SADC!Y60-Y60&gt;0,Z60+[1]SADC!Z60-[1]SADC!Y60-Y60,0)</f>
        <v>0</v>
      </c>
      <c r="AC60" s="181"/>
      <c r="AD60" s="182">
        <f t="shared" si="0"/>
        <v>0</v>
      </c>
      <c r="AE60" s="182">
        <f t="shared" si="0"/>
        <v>0</v>
      </c>
      <c r="AF60" s="181"/>
    </row>
    <row r="61" spans="1:32">
      <c r="A61" s="181" t="str">
        <f>+VLOOKUP(B61,'[1]coa-mgb'!A$1:B$65536,2,0)</f>
        <v>Prepaid Registration</v>
      </c>
      <c r="B61" s="184" t="s">
        <v>81</v>
      </c>
      <c r="C61" s="182">
        <f>+SUMIFS('[1]19902030 00'!$F$1:$F$65536,'[1]19902030 00'!$D$1:$D$65536,"Beginning Balance",'[1]19902030 00'!$D$1:$D$65536,"Beginning Balance")</f>
        <v>0</v>
      </c>
      <c r="D61" s="182">
        <f>+SUMIFS('[1]19902030 00'!$H$1:$H$65536,'[1]19902030 00'!$D$1:$D$65536,"Beginning Balance",'[1]19902030 00'!$D$1:$D$65536,"Beginning Balance")</f>
        <v>0</v>
      </c>
      <c r="E61" s="182">
        <f>+IF(C61+[1]SADC!C61-[1]SADC!D61-D61&gt;0,C61+[1]SADC!C61-[1]SADC!D61-D61,0)</f>
        <v>0</v>
      </c>
      <c r="F61" s="182">
        <f>+IF(D61+[1]SADC!D61-[1]SADC!C61-C61&gt;0,D61+[1]SADC!D61-[1]SADC!C61-C61,0)</f>
        <v>0</v>
      </c>
      <c r="G61" s="182">
        <f>+IF(E61+[1]SADC!E61-[1]SADC!F61-F61&gt;0,E61+[1]SADC!E61-[1]SADC!F61-F61,0)</f>
        <v>0</v>
      </c>
      <c r="H61" s="182">
        <f>+IF(F61+[1]SADC!F61-[1]SADC!E61-E61&gt;0,F61+[1]SADC!F61-[1]SADC!E61-E61,0)</f>
        <v>0</v>
      </c>
      <c r="I61" s="182">
        <f>+IF(G61+[1]SADC!G61-[1]SADC!H61-H61&gt;0,G61+[1]SADC!G61-[1]SADC!H61-H61,0)</f>
        <v>0</v>
      </c>
      <c r="J61" s="182">
        <f>+IF(H61+[1]SADC!H61-[1]SADC!G61-G61&gt;0,H61+[1]SADC!H61-[1]SADC!G61-G61,0)</f>
        <v>0</v>
      </c>
      <c r="K61" s="182">
        <f>+IF(I61+[1]SADC!I61-[1]SADC!J61-J61&gt;0,I61+[1]SADC!I61-[1]SADC!J61-J61,0)</f>
        <v>0</v>
      </c>
      <c r="L61" s="182">
        <f>+IF(J61+[1]SADC!J61-[1]SADC!I61-I61&gt;0,J61+[1]SADC!J61-[1]SADC!I61-I61,0)</f>
        <v>0</v>
      </c>
      <c r="M61" s="182">
        <f>+IF(K61+[1]SADC!K61-[1]SADC!L61-L61&gt;0,K61+[1]SADC!K61-[1]SADC!L61-L61,0)</f>
        <v>0</v>
      </c>
      <c r="N61" s="182">
        <f>+IF(L61+[1]SADC!L61-[1]SADC!K61-K61&gt;0,L61+[1]SADC!L61-[1]SADC!K61-K61,0)</f>
        <v>0</v>
      </c>
      <c r="O61" s="182">
        <f>+IF(M61+[1]SADC!M61-[1]SADC!N61-N61&gt;0,M61+[1]SADC!M61-[1]SADC!N61-N61,0)</f>
        <v>0</v>
      </c>
      <c r="P61" s="182">
        <f>+IF(N61+[1]SADC!N61-[1]SADC!M61-M61&gt;0,N61+[1]SADC!N61-[1]SADC!M61-M61,0)</f>
        <v>0</v>
      </c>
      <c r="Q61" s="182">
        <f>+IF(O61+[1]SADC!O61-[1]SADC!P61-P61&gt;0,O61+[1]SADC!O61-[1]SADC!P61-P61,0)</f>
        <v>0</v>
      </c>
      <c r="R61" s="182">
        <f>+IF(P61+[1]SADC!P61-[1]SADC!O61-O61&gt;0,P61+[1]SADC!P61-[1]SADC!O61-O61,0)</f>
        <v>0</v>
      </c>
      <c r="S61" s="182">
        <f>+IF(Q61+[1]SADC!Q61-[1]SADC!R61-R61&gt;0,Q61+[1]SADC!Q61-[1]SADC!R61-R61,0)</f>
        <v>0</v>
      </c>
      <c r="T61" s="182">
        <f>+IF(R61+[1]SADC!R61-[1]SADC!Q61-Q61&gt;0,R61+[1]SADC!R61-[1]SADC!Q61-Q61,0)</f>
        <v>0</v>
      </c>
      <c r="U61" s="182">
        <f>+IF(S61+[1]SADC!S61-[1]SADC!T61-T61&gt;0,S61+[1]SADC!S61-[1]SADC!T61-T61,0)</f>
        <v>0</v>
      </c>
      <c r="V61" s="182">
        <f>+IF(T61+[1]SADC!T61-[1]SADC!S61-S61&gt;0,T61+[1]SADC!T61-[1]SADC!S61-S61,0)</f>
        <v>0</v>
      </c>
      <c r="W61" s="182">
        <f>+IF(U61+[1]SADC!U61-[1]SADC!V61-V61&gt;0,U61+[1]SADC!U61-[1]SADC!V61-V61,0)</f>
        <v>0</v>
      </c>
      <c r="X61" s="182">
        <f>+IF(V61+[1]SADC!V61-[1]SADC!U61-U61&gt;0,V61+[1]SADC!V61-[1]SADC!U61-U61,0)</f>
        <v>0</v>
      </c>
      <c r="Y61" s="182">
        <f>+IF(W61+[1]SADC!W61-[1]SADC!X61-X61&gt;0,W61+[1]SADC!W61-[1]SADC!X61-X61,0)</f>
        <v>0</v>
      </c>
      <c r="Z61" s="182">
        <f>+IF(X61+[1]SADC!X61-[1]SADC!W61-W61&gt;0,X61+[1]SADC!X61-[1]SADC!W61-W61,0)</f>
        <v>0</v>
      </c>
      <c r="AA61" s="182">
        <f>+IF(Y61+[1]SADC!Y61-[1]SADC!Z61-Z61&gt;0,Y61+[1]SADC!Y61-[1]SADC!Z61-Z61,0)</f>
        <v>0</v>
      </c>
      <c r="AB61" s="182">
        <f>+IF(Z61+[1]SADC!Z61-[1]SADC!Y61-Y61&gt;0,Z61+[1]SADC!Z61-[1]SADC!Y61-Y61,0)</f>
        <v>0</v>
      </c>
      <c r="AC61" s="181"/>
      <c r="AD61" s="182">
        <f t="shared" si="0"/>
        <v>0</v>
      </c>
      <c r="AE61" s="182">
        <f t="shared" si="0"/>
        <v>0</v>
      </c>
      <c r="AF61" s="181"/>
    </row>
    <row r="62" spans="1:32">
      <c r="A62" s="181" t="str">
        <f>+VLOOKUP(B62,'[1]coa-mgb'!A$1:B$65536,2,0)</f>
        <v>Prepaid Insurance</v>
      </c>
      <c r="B62" s="184" t="s">
        <v>82</v>
      </c>
      <c r="C62" s="182">
        <f>+SUMIFS('[1]19902050 00'!$F$1:$F$65536,'[1]19902050 00'!$D$1:$D$65536,"Beginning Balance",'[1]19902050 00'!$D$1:$D$65536,"Beginning Balance")</f>
        <v>39612.94</v>
      </c>
      <c r="D62" s="182">
        <f>+SUMIFS('[1]19902050 00'!$H$1:$H$65536,'[1]19902050 00'!$D$1:$D$65536,"Beginning Balance",'[1]19902050 00'!$D$1:$D$65536,"Beginning Balance")</f>
        <v>0</v>
      </c>
      <c r="E62" s="182">
        <f>+IF(C62+[1]SADC!C62-[1]SADC!D62-D62&gt;0,C62+[1]SADC!C62-[1]SADC!D62-D62,0)</f>
        <v>32154.300000000003</v>
      </c>
      <c r="F62" s="182">
        <f>+IF(D62+[1]SADC!D62-[1]SADC!C62-C62&gt;0,D62+[1]SADC!D62-[1]SADC!C62-C62,0)</f>
        <v>0</v>
      </c>
      <c r="G62" s="182">
        <f>+IF(E62+[1]SADC!E62-[1]SADC!F62-F62&gt;0,E62+[1]SADC!E62-[1]SADC!F62-F62,0)</f>
        <v>24423.860000000004</v>
      </c>
      <c r="H62" s="182">
        <f>+IF(F62+[1]SADC!F62-[1]SADC!E62-E62&gt;0,F62+[1]SADC!F62-[1]SADC!E62-E62,0)</f>
        <v>0</v>
      </c>
      <c r="I62" s="182">
        <f>+IF(G62+[1]SADC!G62-[1]SADC!H62-H62&gt;0,G62+[1]SADC!G62-[1]SADC!H62-H62,0)</f>
        <v>16335.310000000005</v>
      </c>
      <c r="J62" s="182">
        <f>+IF(H62+[1]SADC!H62-[1]SADC!G62-G62&gt;0,H62+[1]SADC!H62-[1]SADC!G62-G62,0)</f>
        <v>0</v>
      </c>
      <c r="K62" s="182">
        <f>+IF(I62+[1]SADC!I62-[1]SADC!J62-J62&gt;0,I62+[1]SADC!I62-[1]SADC!J62-J62,0)</f>
        <v>16335.310000000005</v>
      </c>
      <c r="L62" s="182">
        <f>+IF(J62+[1]SADC!J62-[1]SADC!I62-I62&gt;0,J62+[1]SADC!J62-[1]SADC!I62-I62,0)</f>
        <v>0</v>
      </c>
      <c r="M62" s="182">
        <f>+IF(K62+[1]SADC!K62-[1]SADC!L62-L62&gt;0,K62+[1]SADC!K62-[1]SADC!L62-L62,0)</f>
        <v>16335.310000000005</v>
      </c>
      <c r="N62" s="182">
        <f>+IF(L62+[1]SADC!L62-[1]SADC!K62-K62&gt;0,L62+[1]SADC!L62-[1]SADC!K62-K62,0)</f>
        <v>0</v>
      </c>
      <c r="O62" s="182">
        <f>+IF(M62+[1]SADC!M62-[1]SADC!N62-N62&gt;0,M62+[1]SADC!M62-[1]SADC!N62-N62,0)</f>
        <v>16335.310000000005</v>
      </c>
      <c r="P62" s="182">
        <f>+IF(N62+[1]SADC!N62-[1]SADC!M62-M62&gt;0,N62+[1]SADC!N62-[1]SADC!M62-M62,0)</f>
        <v>0</v>
      </c>
      <c r="Q62" s="182">
        <f>+IF(O62+[1]SADC!O62-[1]SADC!P62-P62&gt;0,O62+[1]SADC!O62-[1]SADC!P62-P62,0)</f>
        <v>16335.310000000005</v>
      </c>
      <c r="R62" s="182">
        <f>+IF(P62+[1]SADC!P62-[1]SADC!O62-O62&gt;0,P62+[1]SADC!P62-[1]SADC!O62-O62,0)</f>
        <v>0</v>
      </c>
      <c r="S62" s="182">
        <f>+IF(Q62+[1]SADC!Q62-[1]SADC!R62-R62&gt;0,Q62+[1]SADC!Q62-[1]SADC!R62-R62,0)</f>
        <v>16335.310000000005</v>
      </c>
      <c r="T62" s="182">
        <f>+IF(R62+[1]SADC!R62-[1]SADC!Q62-Q62&gt;0,R62+[1]SADC!R62-[1]SADC!Q62-Q62,0)</f>
        <v>0</v>
      </c>
      <c r="U62" s="182">
        <f>+IF(S62+[1]SADC!S62-[1]SADC!T62-T62&gt;0,S62+[1]SADC!S62-[1]SADC!T62-T62,0)</f>
        <v>16335.310000000005</v>
      </c>
      <c r="V62" s="182">
        <f>+IF(T62+[1]SADC!T62-[1]SADC!S62-S62&gt;0,T62+[1]SADC!T62-[1]SADC!S62-S62,0)</f>
        <v>0</v>
      </c>
      <c r="W62" s="182">
        <f>+IF(U62+[1]SADC!U62-[1]SADC!V62-V62&gt;0,U62+[1]SADC!U62-[1]SADC!V62-V62,0)</f>
        <v>16335.310000000005</v>
      </c>
      <c r="X62" s="182">
        <f>+IF(V62+[1]SADC!V62-[1]SADC!U62-U62&gt;0,V62+[1]SADC!V62-[1]SADC!U62-U62,0)</f>
        <v>0</v>
      </c>
      <c r="Y62" s="182">
        <f>+IF(W62+[1]SADC!W62-[1]SADC!X62-X62&gt;0,W62+[1]SADC!W62-[1]SADC!X62-X62,0)</f>
        <v>16335.310000000005</v>
      </c>
      <c r="Z62" s="182">
        <f>+IF(X62+[1]SADC!X62-[1]SADC!W62-W62&gt;0,X62+[1]SADC!X62-[1]SADC!W62-W62,0)</f>
        <v>0</v>
      </c>
      <c r="AA62" s="182">
        <f>+IF(Y62+[1]SADC!Y62-[1]SADC!Z62-Z62&gt;0,Y62+[1]SADC!Y62-[1]SADC!Z62-Z62,0)</f>
        <v>16335.310000000005</v>
      </c>
      <c r="AB62" s="182">
        <f>+IF(Z62+[1]SADC!Z62-[1]SADC!Y62-Y62&gt;0,Z62+[1]SADC!Z62-[1]SADC!Y62-Y62,0)</f>
        <v>0</v>
      </c>
      <c r="AC62" s="181"/>
      <c r="AD62" s="182">
        <f t="shared" si="0"/>
        <v>16335.310000000005</v>
      </c>
      <c r="AE62" s="182">
        <f t="shared" si="0"/>
        <v>0</v>
      </c>
      <c r="AF62" s="181"/>
    </row>
    <row r="63" spans="1:32">
      <c r="A63" s="181" t="str">
        <f>+VLOOKUP(B63,'[1]coa-mgb'!A$1:B$65536,2,0)</f>
        <v>Other Prepayments</v>
      </c>
      <c r="B63" s="184" t="s">
        <v>83</v>
      </c>
      <c r="C63" s="182">
        <f>+SUMIFS('[1]19902990 00'!$F$1:$F$65536,'[1]19902990 00'!$D$1:$D$65536,"Beginning Balance",'[1]19902990 00'!$D$1:$D$65536,"Beginning Balance")</f>
        <v>0</v>
      </c>
      <c r="D63" s="182">
        <f>+SUMIFS('[1]19902990 00'!$H$1:$H$65536,'[1]19902990 00'!$D$1:$D$65536,"Beginning Balance",'[1]19902990 00'!$D$1:$D$65536,"Beginning Balance")</f>
        <v>0</v>
      </c>
      <c r="E63" s="182">
        <f>+IF(C63+[1]SADC!C63-[1]SADC!D63-D63&gt;0,C63+[1]SADC!C63-[1]SADC!D63-D63,0)</f>
        <v>5253.75</v>
      </c>
      <c r="F63" s="182">
        <f>+IF(D63+[1]SADC!D63-[1]SADC!C63-C63&gt;0,D63+[1]SADC!D63-[1]SADC!C63-C63,0)</f>
        <v>0</v>
      </c>
      <c r="G63" s="182">
        <f>+IF(E63+[1]SADC!E63-[1]SADC!F63-F63&gt;0,E63+[1]SADC!E63-[1]SADC!F63-F63,0)</f>
        <v>10732.5</v>
      </c>
      <c r="H63" s="182">
        <f>+IF(F63+[1]SADC!F63-[1]SADC!E63-E63&gt;0,F63+[1]SADC!F63-[1]SADC!E63-E63,0)</f>
        <v>0</v>
      </c>
      <c r="I63" s="182">
        <f>+IF(G63+[1]SADC!G63-[1]SADC!H63-H63&gt;0,G63+[1]SADC!G63-[1]SADC!H63-H63,0)</f>
        <v>14107.5</v>
      </c>
      <c r="J63" s="182">
        <f>+IF(H63+[1]SADC!H63-[1]SADC!G63-G63&gt;0,H63+[1]SADC!H63-[1]SADC!G63-G63,0)</f>
        <v>0</v>
      </c>
      <c r="K63" s="182">
        <f>+IF(I63+[1]SADC!I63-[1]SADC!J63-J63&gt;0,I63+[1]SADC!I63-[1]SADC!J63-J63,0)</f>
        <v>14107.5</v>
      </c>
      <c r="L63" s="182">
        <f>+IF(J63+[1]SADC!J63-[1]SADC!I63-I63&gt;0,J63+[1]SADC!J63-[1]SADC!I63-I63,0)</f>
        <v>0</v>
      </c>
      <c r="M63" s="182">
        <f>+IF(K63+[1]SADC!K63-[1]SADC!L63-L63&gt;0,K63+[1]SADC!K63-[1]SADC!L63-L63,0)</f>
        <v>14107.5</v>
      </c>
      <c r="N63" s="182">
        <f>+IF(L63+[1]SADC!L63-[1]SADC!K63-K63&gt;0,L63+[1]SADC!L63-[1]SADC!K63-K63,0)</f>
        <v>0</v>
      </c>
      <c r="O63" s="182">
        <f>+IF(M63+[1]SADC!M63-[1]SADC!N63-N63&gt;0,M63+[1]SADC!M63-[1]SADC!N63-N63,0)</f>
        <v>14107.5</v>
      </c>
      <c r="P63" s="182">
        <f>+IF(N63+[1]SADC!N63-[1]SADC!M63-M63&gt;0,N63+[1]SADC!N63-[1]SADC!M63-M63,0)</f>
        <v>0</v>
      </c>
      <c r="Q63" s="182">
        <f>+IF(O63+[1]SADC!O63-[1]SADC!P63-P63&gt;0,O63+[1]SADC!O63-[1]SADC!P63-P63,0)</f>
        <v>14107.5</v>
      </c>
      <c r="R63" s="182">
        <f>+IF(P63+[1]SADC!P63-[1]SADC!O63-O63&gt;0,P63+[1]SADC!P63-[1]SADC!O63-O63,0)</f>
        <v>0</v>
      </c>
      <c r="S63" s="182">
        <f>+IF(Q63+[1]SADC!Q63-[1]SADC!R63-R63&gt;0,Q63+[1]SADC!Q63-[1]SADC!R63-R63,0)</f>
        <v>14107.5</v>
      </c>
      <c r="T63" s="182">
        <f>+IF(R63+[1]SADC!R63-[1]SADC!Q63-Q63&gt;0,R63+[1]SADC!R63-[1]SADC!Q63-Q63,0)</f>
        <v>0</v>
      </c>
      <c r="U63" s="182">
        <f>+IF(S63+[1]SADC!S63-[1]SADC!T63-T63&gt;0,S63+[1]SADC!S63-[1]SADC!T63-T63,0)</f>
        <v>14107.5</v>
      </c>
      <c r="V63" s="182">
        <f>+IF(T63+[1]SADC!T63-[1]SADC!S63-S63&gt;0,T63+[1]SADC!T63-[1]SADC!S63-S63,0)</f>
        <v>0</v>
      </c>
      <c r="W63" s="182">
        <f>+IF(U63+[1]SADC!U63-[1]SADC!V63-V63&gt;0,U63+[1]SADC!U63-[1]SADC!V63-V63,0)</f>
        <v>14107.5</v>
      </c>
      <c r="X63" s="182">
        <f>+IF(V63+[1]SADC!V63-[1]SADC!U63-U63&gt;0,V63+[1]SADC!V63-[1]SADC!U63-U63,0)</f>
        <v>0</v>
      </c>
      <c r="Y63" s="182">
        <f>+IF(W63+[1]SADC!W63-[1]SADC!X63-X63&gt;0,W63+[1]SADC!W63-[1]SADC!X63-X63,0)</f>
        <v>14107.5</v>
      </c>
      <c r="Z63" s="182">
        <f>+IF(X63+[1]SADC!X63-[1]SADC!W63-W63&gt;0,X63+[1]SADC!X63-[1]SADC!W63-W63,0)</f>
        <v>0</v>
      </c>
      <c r="AA63" s="182">
        <f>+IF(Y63+[1]SADC!Y63-[1]SADC!Z63-Z63&gt;0,Y63+[1]SADC!Y63-[1]SADC!Z63-Z63,0)</f>
        <v>14107.5</v>
      </c>
      <c r="AB63" s="182">
        <f>+IF(Z63+[1]SADC!Z63-[1]SADC!Y63-Y63&gt;0,Z63+[1]SADC!Z63-[1]SADC!Y63-Y63,0)</f>
        <v>0</v>
      </c>
      <c r="AC63" s="181"/>
      <c r="AD63" s="182">
        <f t="shared" si="0"/>
        <v>14107.5</v>
      </c>
      <c r="AE63" s="182">
        <f t="shared" si="0"/>
        <v>0</v>
      </c>
      <c r="AF63" s="181"/>
    </row>
    <row r="64" spans="1:32">
      <c r="A64" s="181" t="str">
        <f>+VLOOKUP(B64,'[1]coa-mgb'!A$1:B$65536,2,0)</f>
        <v>Guaranty Deposits</v>
      </c>
      <c r="B64" s="184" t="s">
        <v>84</v>
      </c>
      <c r="C64" s="182">
        <f>+SUMIFS('[1]19903020 00'!$F$1:$F$65536,'[1]19903020 00'!$D$1:$D$65536,"Beginning Balance",'[1]19903020 00'!$D$1:$D$65536,"Beginning Balance")</f>
        <v>11510.65</v>
      </c>
      <c r="D64" s="182">
        <f>+SUMIFS('[1]19903020 00'!$H$1:$H$65536,'[1]19903020 00'!$D$1:$D$65536,"Beginning Balance",'[1]19903020 00'!$D$1:$D$65536,"Beginning Balance")</f>
        <v>0</v>
      </c>
      <c r="E64" s="182">
        <f>+IF(C64+[1]SADC!C64-[1]SADC!D64-D64&gt;0,C64+[1]SADC!C64-[1]SADC!D64-D64,0)</f>
        <v>11510.65</v>
      </c>
      <c r="F64" s="182">
        <f>+IF(D64+[1]SADC!D64-[1]SADC!C64-C64&gt;0,D64+[1]SADC!D64-[1]SADC!C64-C64,0)</f>
        <v>0</v>
      </c>
      <c r="G64" s="182">
        <f>+IF(E64+[1]SADC!E64-[1]SADC!F64-F64&gt;0,E64+[1]SADC!E64-[1]SADC!F64-F64,0)</f>
        <v>11510.65</v>
      </c>
      <c r="H64" s="182">
        <f>+IF(F64+[1]SADC!F64-[1]SADC!E64-E64&gt;0,F64+[1]SADC!F64-[1]SADC!E64-E64,0)</f>
        <v>0</v>
      </c>
      <c r="I64" s="182">
        <f>+IF(G64+[1]SADC!G64-[1]SADC!H64-H64&gt;0,G64+[1]SADC!G64-[1]SADC!H64-H64,0)</f>
        <v>11510.65</v>
      </c>
      <c r="J64" s="182">
        <f>+IF(H64+[1]SADC!H64-[1]SADC!G64-G64&gt;0,H64+[1]SADC!H64-[1]SADC!G64-G64,0)</f>
        <v>0</v>
      </c>
      <c r="K64" s="182">
        <f>+IF(I64+[1]SADC!I64-[1]SADC!J64-J64&gt;0,I64+[1]SADC!I64-[1]SADC!J64-J64,0)</f>
        <v>11510.65</v>
      </c>
      <c r="L64" s="182">
        <f>+IF(J64+[1]SADC!J64-[1]SADC!I64-I64&gt;0,J64+[1]SADC!J64-[1]SADC!I64-I64,0)</f>
        <v>0</v>
      </c>
      <c r="M64" s="182">
        <f>+IF(K64+[1]SADC!K64-[1]SADC!L64-L64&gt;0,K64+[1]SADC!K64-[1]SADC!L64-L64,0)</f>
        <v>11510.65</v>
      </c>
      <c r="N64" s="182">
        <f>+IF(L64+[1]SADC!L64-[1]SADC!K64-K64&gt;0,L64+[1]SADC!L64-[1]SADC!K64-K64,0)</f>
        <v>0</v>
      </c>
      <c r="O64" s="182">
        <f>+IF(M64+[1]SADC!M64-[1]SADC!N64-N64&gt;0,M64+[1]SADC!M64-[1]SADC!N64-N64,0)</f>
        <v>11510.65</v>
      </c>
      <c r="P64" s="182">
        <f>+IF(N64+[1]SADC!N64-[1]SADC!M64-M64&gt;0,N64+[1]SADC!N64-[1]SADC!M64-M64,0)</f>
        <v>0</v>
      </c>
      <c r="Q64" s="182">
        <f>+IF(O64+[1]SADC!O64-[1]SADC!P64-P64&gt;0,O64+[1]SADC!O64-[1]SADC!P64-P64,0)</f>
        <v>11510.65</v>
      </c>
      <c r="R64" s="182">
        <f>+IF(P64+[1]SADC!P64-[1]SADC!O64-O64&gt;0,P64+[1]SADC!P64-[1]SADC!O64-O64,0)</f>
        <v>0</v>
      </c>
      <c r="S64" s="182">
        <f>+IF(Q64+[1]SADC!Q64-[1]SADC!R64-R64&gt;0,Q64+[1]SADC!Q64-[1]SADC!R64-R64,0)</f>
        <v>11510.65</v>
      </c>
      <c r="T64" s="182">
        <f>+IF(R64+[1]SADC!R64-[1]SADC!Q64-Q64&gt;0,R64+[1]SADC!R64-[1]SADC!Q64-Q64,0)</f>
        <v>0</v>
      </c>
      <c r="U64" s="182">
        <f>+IF(S64+[1]SADC!S64-[1]SADC!T64-T64&gt;0,S64+[1]SADC!S64-[1]SADC!T64-T64,0)</f>
        <v>11510.65</v>
      </c>
      <c r="V64" s="182">
        <f>+IF(T64+[1]SADC!T64-[1]SADC!S64-S64&gt;0,T64+[1]SADC!T64-[1]SADC!S64-S64,0)</f>
        <v>0</v>
      </c>
      <c r="W64" s="182">
        <f>+IF(U64+[1]SADC!U64-[1]SADC!V64-V64&gt;0,U64+[1]SADC!U64-[1]SADC!V64-V64,0)</f>
        <v>11510.65</v>
      </c>
      <c r="X64" s="182">
        <f>+IF(V64+[1]SADC!V64-[1]SADC!U64-U64&gt;0,V64+[1]SADC!V64-[1]SADC!U64-U64,0)</f>
        <v>0</v>
      </c>
      <c r="Y64" s="182">
        <f>+IF(W64+[1]SADC!W64-[1]SADC!X64-X64&gt;0,W64+[1]SADC!W64-[1]SADC!X64-X64,0)</f>
        <v>11510.65</v>
      </c>
      <c r="Z64" s="182">
        <f>+IF(X64+[1]SADC!X64-[1]SADC!W64-W64&gt;0,X64+[1]SADC!X64-[1]SADC!W64-W64,0)</f>
        <v>0</v>
      </c>
      <c r="AA64" s="182">
        <f>+IF(Y64+[1]SADC!Y64-[1]SADC!Z64-Z64&gt;0,Y64+[1]SADC!Y64-[1]SADC!Z64-Z64,0)</f>
        <v>11510.65</v>
      </c>
      <c r="AB64" s="182">
        <f>+IF(Z64+[1]SADC!Z64-[1]SADC!Y64-Y64&gt;0,Z64+[1]SADC!Z64-[1]SADC!Y64-Y64,0)</f>
        <v>0</v>
      </c>
      <c r="AC64" s="181"/>
      <c r="AD64" s="182">
        <f t="shared" si="0"/>
        <v>11510.65</v>
      </c>
      <c r="AE64" s="182">
        <f t="shared" si="0"/>
        <v>0</v>
      </c>
      <c r="AF64" s="181"/>
    </row>
    <row r="65" spans="1:32">
      <c r="A65" s="181" t="str">
        <f>+VLOOKUP(B65,'[1]coa-mgb'!A$1:B$65536,2,0)</f>
        <v>Other Deposits</v>
      </c>
      <c r="B65" s="184" t="s">
        <v>85</v>
      </c>
      <c r="C65" s="182">
        <f>+SUMIFS('[1]19903990 00'!$F$1:$F$65536,'[1]19903990 00'!$D$1:$D$65536,"Beginning Balance",'[1]19903990 00'!$D$1:$D$65536,"Beginning Balance")</f>
        <v>5000</v>
      </c>
      <c r="D65" s="182">
        <f>+SUMIFS('[1]19903990 00'!$H$1:$H$65536,'[1]19903990 00'!$D$1:$D$65536,"Beginning Balance",'[1]19903990 00'!$D$1:$D$65536,"Beginning Balance")</f>
        <v>0</v>
      </c>
      <c r="E65" s="182">
        <f>+IF(C65+[1]SADC!C65-[1]SADC!D65-D65&gt;0,C65+[1]SADC!C65-[1]SADC!D65-D65,0)</f>
        <v>5000</v>
      </c>
      <c r="F65" s="182">
        <f>+IF(D65+[1]SADC!D65-[1]SADC!C65-C65&gt;0,D65+[1]SADC!D65-[1]SADC!C65-C65,0)</f>
        <v>0</v>
      </c>
      <c r="G65" s="182">
        <f>+IF(E65+[1]SADC!E65-[1]SADC!F65-F65&gt;0,E65+[1]SADC!E65-[1]SADC!F65-F65,0)</f>
        <v>5000</v>
      </c>
      <c r="H65" s="182">
        <f>+IF(F65+[1]SADC!F65-[1]SADC!E65-E65&gt;0,F65+[1]SADC!F65-[1]SADC!E65-E65,0)</f>
        <v>0</v>
      </c>
      <c r="I65" s="182">
        <f>+IF(G65+[1]SADC!G65-[1]SADC!H65-H65&gt;0,G65+[1]SADC!G65-[1]SADC!H65-H65,0)</f>
        <v>5000</v>
      </c>
      <c r="J65" s="182">
        <f>+IF(H65+[1]SADC!H65-[1]SADC!G65-G65&gt;0,H65+[1]SADC!H65-[1]SADC!G65-G65,0)</f>
        <v>0</v>
      </c>
      <c r="K65" s="182">
        <f>+IF(I65+[1]SADC!I65-[1]SADC!J65-J65&gt;0,I65+[1]SADC!I65-[1]SADC!J65-J65,0)</f>
        <v>5000</v>
      </c>
      <c r="L65" s="182">
        <f>+IF(J65+[1]SADC!J65-[1]SADC!I65-I65&gt;0,J65+[1]SADC!J65-[1]SADC!I65-I65,0)</f>
        <v>0</v>
      </c>
      <c r="M65" s="182">
        <f>+IF(K65+[1]SADC!K65-[1]SADC!L65-L65&gt;0,K65+[1]SADC!K65-[1]SADC!L65-L65,0)</f>
        <v>5000</v>
      </c>
      <c r="N65" s="182">
        <f>+IF(L65+[1]SADC!L65-[1]SADC!K65-K65&gt;0,L65+[1]SADC!L65-[1]SADC!K65-K65,0)</f>
        <v>0</v>
      </c>
      <c r="O65" s="182">
        <f>+IF(M65+[1]SADC!M65-[1]SADC!N65-N65&gt;0,M65+[1]SADC!M65-[1]SADC!N65-N65,0)</f>
        <v>5000</v>
      </c>
      <c r="P65" s="182">
        <f>+IF(N65+[1]SADC!N65-[1]SADC!M65-M65&gt;0,N65+[1]SADC!N65-[1]SADC!M65-M65,0)</f>
        <v>0</v>
      </c>
      <c r="Q65" s="182">
        <f>+IF(O65+[1]SADC!O65-[1]SADC!P65-P65&gt;0,O65+[1]SADC!O65-[1]SADC!P65-P65,0)</f>
        <v>5000</v>
      </c>
      <c r="R65" s="182">
        <f>+IF(P65+[1]SADC!P65-[1]SADC!O65-O65&gt;0,P65+[1]SADC!P65-[1]SADC!O65-O65,0)</f>
        <v>0</v>
      </c>
      <c r="S65" s="182">
        <f>+IF(Q65+[1]SADC!Q65-[1]SADC!R65-R65&gt;0,Q65+[1]SADC!Q65-[1]SADC!R65-R65,0)</f>
        <v>5000</v>
      </c>
      <c r="T65" s="182">
        <f>+IF(R65+[1]SADC!R65-[1]SADC!Q65-Q65&gt;0,R65+[1]SADC!R65-[1]SADC!Q65-Q65,0)</f>
        <v>0</v>
      </c>
      <c r="U65" s="182">
        <f>+IF(S65+[1]SADC!S65-[1]SADC!T65-T65&gt;0,S65+[1]SADC!S65-[1]SADC!T65-T65,0)</f>
        <v>5000</v>
      </c>
      <c r="V65" s="182">
        <f>+IF(T65+[1]SADC!T65-[1]SADC!S65-S65&gt;0,T65+[1]SADC!T65-[1]SADC!S65-S65,0)</f>
        <v>0</v>
      </c>
      <c r="W65" s="182">
        <f>+IF(U65+[1]SADC!U65-[1]SADC!V65-V65&gt;0,U65+[1]SADC!U65-[1]SADC!V65-V65,0)</f>
        <v>5000</v>
      </c>
      <c r="X65" s="182">
        <f>+IF(V65+[1]SADC!V65-[1]SADC!U65-U65&gt;0,V65+[1]SADC!V65-[1]SADC!U65-U65,0)</f>
        <v>0</v>
      </c>
      <c r="Y65" s="182">
        <f>+IF(W65+[1]SADC!W65-[1]SADC!X65-X65&gt;0,W65+[1]SADC!W65-[1]SADC!X65-X65,0)</f>
        <v>5000</v>
      </c>
      <c r="Z65" s="182">
        <f>+IF(X65+[1]SADC!X65-[1]SADC!W65-W65&gt;0,X65+[1]SADC!X65-[1]SADC!W65-W65,0)</f>
        <v>0</v>
      </c>
      <c r="AA65" s="182">
        <f>+IF(Y65+[1]SADC!Y65-[1]SADC!Z65-Z65&gt;0,Y65+[1]SADC!Y65-[1]SADC!Z65-Z65,0)</f>
        <v>5000</v>
      </c>
      <c r="AB65" s="182">
        <f>+IF(Z65+[1]SADC!Z65-[1]SADC!Y65-Y65&gt;0,Z65+[1]SADC!Z65-[1]SADC!Y65-Y65,0)</f>
        <v>0</v>
      </c>
      <c r="AC65" s="181"/>
      <c r="AD65" s="182">
        <f t="shared" si="0"/>
        <v>5000</v>
      </c>
      <c r="AE65" s="182">
        <f t="shared" si="0"/>
        <v>0</v>
      </c>
      <c r="AF65" s="181"/>
    </row>
    <row r="66" spans="1:32">
      <c r="A66" s="181" t="str">
        <f>+VLOOKUP(B66,'[1]coa-mgb'!A$1:B$65536,2,0)</f>
        <v>Other Assets</v>
      </c>
      <c r="B66" s="184" t="s">
        <v>86</v>
      </c>
      <c r="C66" s="182">
        <f>+SUMIFS('[1]19999990 00'!$F$1:$F$65536,'[1]19999990 00'!$D$1:$D$65536,"Beginning Balance",'[1]19999990 00'!$D$1:$D$65536,"Beginning Balance")</f>
        <v>17952.11</v>
      </c>
      <c r="D66" s="182">
        <f>+SUMIFS('[1]19999990 00'!$H$1:$H$65536,'[1]19999990 00'!$D$1:$D$65536,"Beginning Balance",'[1]19999990 00'!$D$1:$D$65536,"Beginning Balance")</f>
        <v>0</v>
      </c>
      <c r="E66" s="182">
        <f>+IF(C66+[1]SADC!C66-[1]SADC!D66-D66&gt;0,C66+[1]SADC!C66-[1]SADC!D66-D66,0)</f>
        <v>17952.11</v>
      </c>
      <c r="F66" s="182">
        <f>+IF(D66+[1]SADC!D66-[1]SADC!C66-C66&gt;0,D66+[1]SADC!D66-[1]SADC!C66-C66,0)</f>
        <v>0</v>
      </c>
      <c r="G66" s="182">
        <f>+IF(E66+[1]SADC!E66-[1]SADC!F66-F66&gt;0,E66+[1]SADC!E66-[1]SADC!F66-F66,0)</f>
        <v>17952.11</v>
      </c>
      <c r="H66" s="182">
        <f>+IF(F66+[1]SADC!F66-[1]SADC!E66-E66&gt;0,F66+[1]SADC!F66-[1]SADC!E66-E66,0)</f>
        <v>0</v>
      </c>
      <c r="I66" s="182">
        <f>+IF(G66+[1]SADC!G66-[1]SADC!H66-H66&gt;0,G66+[1]SADC!G66-[1]SADC!H66-H66,0)</f>
        <v>17952.11</v>
      </c>
      <c r="J66" s="182">
        <f>+IF(H66+[1]SADC!H66-[1]SADC!G66-G66&gt;0,H66+[1]SADC!H66-[1]SADC!G66-G66,0)</f>
        <v>0</v>
      </c>
      <c r="K66" s="182">
        <f>+IF(I66+[1]SADC!I66-[1]SADC!J66-J66&gt;0,I66+[1]SADC!I66-[1]SADC!J66-J66,0)</f>
        <v>17952.11</v>
      </c>
      <c r="L66" s="182">
        <f>+IF(J66+[1]SADC!J66-[1]SADC!I66-I66&gt;0,J66+[1]SADC!J66-[1]SADC!I66-I66,0)</f>
        <v>0</v>
      </c>
      <c r="M66" s="182">
        <f>+IF(K66+[1]SADC!K66-[1]SADC!L66-L66&gt;0,K66+[1]SADC!K66-[1]SADC!L66-L66,0)</f>
        <v>17952.11</v>
      </c>
      <c r="N66" s="182">
        <f>+IF(L66+[1]SADC!L66-[1]SADC!K66-K66&gt;0,L66+[1]SADC!L66-[1]SADC!K66-K66,0)</f>
        <v>0</v>
      </c>
      <c r="O66" s="182">
        <f>+IF(M66+[1]SADC!M66-[1]SADC!N66-N66&gt;0,M66+[1]SADC!M66-[1]SADC!N66-N66,0)</f>
        <v>17952.11</v>
      </c>
      <c r="P66" s="182">
        <f>+IF(N66+[1]SADC!N66-[1]SADC!M66-M66&gt;0,N66+[1]SADC!N66-[1]SADC!M66-M66,0)</f>
        <v>0</v>
      </c>
      <c r="Q66" s="182">
        <f>+IF(O66+[1]SADC!O66-[1]SADC!P66-P66&gt;0,O66+[1]SADC!O66-[1]SADC!P66-P66,0)</f>
        <v>17952.11</v>
      </c>
      <c r="R66" s="182">
        <f>+IF(P66+[1]SADC!P66-[1]SADC!O66-O66&gt;0,P66+[1]SADC!P66-[1]SADC!O66-O66,0)</f>
        <v>0</v>
      </c>
      <c r="S66" s="182">
        <f>+IF(Q66+[1]SADC!Q66-[1]SADC!R66-R66&gt;0,Q66+[1]SADC!Q66-[1]SADC!R66-R66,0)</f>
        <v>17952.11</v>
      </c>
      <c r="T66" s="182">
        <f>+IF(R66+[1]SADC!R66-[1]SADC!Q66-Q66&gt;0,R66+[1]SADC!R66-[1]SADC!Q66-Q66,0)</f>
        <v>0</v>
      </c>
      <c r="U66" s="182">
        <f>+IF(S66+[1]SADC!S66-[1]SADC!T66-T66&gt;0,S66+[1]SADC!S66-[1]SADC!T66-T66,0)</f>
        <v>17952.11</v>
      </c>
      <c r="V66" s="182">
        <f>+IF(T66+[1]SADC!T66-[1]SADC!S66-S66&gt;0,T66+[1]SADC!T66-[1]SADC!S66-S66,0)</f>
        <v>0</v>
      </c>
      <c r="W66" s="182">
        <f>+IF(U66+[1]SADC!U66-[1]SADC!V66-V66&gt;0,U66+[1]SADC!U66-[1]SADC!V66-V66,0)</f>
        <v>17952.11</v>
      </c>
      <c r="X66" s="182">
        <f>+IF(V66+[1]SADC!V66-[1]SADC!U66-U66&gt;0,V66+[1]SADC!V66-[1]SADC!U66-U66,0)</f>
        <v>0</v>
      </c>
      <c r="Y66" s="182">
        <f>+IF(W66+[1]SADC!W66-[1]SADC!X66-X66&gt;0,W66+[1]SADC!W66-[1]SADC!X66-X66,0)</f>
        <v>17952.11</v>
      </c>
      <c r="Z66" s="182">
        <f>+IF(X66+[1]SADC!X66-[1]SADC!W66-W66&gt;0,X66+[1]SADC!X66-[1]SADC!W66-W66,0)</f>
        <v>0</v>
      </c>
      <c r="AA66" s="182">
        <f>+IF(Y66+[1]SADC!Y66-[1]SADC!Z66-Z66&gt;0,Y66+[1]SADC!Y66-[1]SADC!Z66-Z66,0)</f>
        <v>17952.11</v>
      </c>
      <c r="AB66" s="182">
        <f>+IF(Z66+[1]SADC!Z66-[1]SADC!Y66-Y66&gt;0,Z66+[1]SADC!Z66-[1]SADC!Y66-Y66,0)</f>
        <v>0</v>
      </c>
      <c r="AC66" s="181"/>
      <c r="AD66" s="182">
        <f t="shared" si="0"/>
        <v>17952.11</v>
      </c>
      <c r="AE66" s="182">
        <f t="shared" si="0"/>
        <v>0</v>
      </c>
      <c r="AF66" s="181"/>
    </row>
    <row r="67" spans="1:32">
      <c r="A67" s="181" t="str">
        <f>+VLOOKUP(B67,'[1]coa-mgb'!A$1:B$65536,2,0)</f>
        <v>Accounts Payable</v>
      </c>
      <c r="B67" s="184" t="s">
        <v>87</v>
      </c>
      <c r="C67" s="182">
        <f>+SUMIFS('[1]20101010 00'!$F$1:$F$65536,'[1]20101010 00'!$D$1:$D$65536,"Beginning Balance",'[1]20101010 00'!$D$1:$D$65536,"Beginning Balance")</f>
        <v>0</v>
      </c>
      <c r="D67" s="182">
        <f>+SUMIFS('[1]20101010 00'!$H$1:$H$65536,'[1]20101010 00'!$D$1:$D$65536,"Beginning Balance",'[1]20101010 00'!$D$1:$D$65536,"Beginning Balance")</f>
        <v>589691.80000000005</v>
      </c>
      <c r="E67" s="182">
        <f>+IF(C67+[1]SADC!C67-[1]SADC!D67-D67&gt;0,C67+[1]SADC!C67-[1]SADC!D67-D67,0)</f>
        <v>0</v>
      </c>
      <c r="F67" s="182">
        <f>+IF(D67+[1]SADC!D67-[1]SADC!C67-C67&gt;0,D67+[1]SADC!D67-[1]SADC!C67-C67,0)</f>
        <v>589691.80000000005</v>
      </c>
      <c r="G67" s="182">
        <f>+IF(E67+[1]SADC!E67-[1]SADC!F67-F67&gt;0,E67+[1]SADC!E67-[1]SADC!F67-F67,0)</f>
        <v>0</v>
      </c>
      <c r="H67" s="182">
        <f>+IF(F67+[1]SADC!F67-[1]SADC!E67-E67&gt;0,F67+[1]SADC!F67-[1]SADC!E67-E67,0)</f>
        <v>589691.80000000005</v>
      </c>
      <c r="I67" s="182">
        <f>+IF(G67+[1]SADC!G67-[1]SADC!H67-H67&gt;0,G67+[1]SADC!G67-[1]SADC!H67-H67,0)</f>
        <v>0</v>
      </c>
      <c r="J67" s="182">
        <f>+IF(H67+[1]SADC!H67-[1]SADC!G67-G67&gt;0,H67+[1]SADC!H67-[1]SADC!G67-G67,0)</f>
        <v>589691.80000000005</v>
      </c>
      <c r="K67" s="182">
        <f>+IF(I67+[1]SADC!I67-[1]SADC!J67-J67&gt;0,I67+[1]SADC!I67-[1]SADC!J67-J67,0)</f>
        <v>0</v>
      </c>
      <c r="L67" s="182">
        <f>+IF(J67+[1]SADC!J67-[1]SADC!I67-I67&gt;0,J67+[1]SADC!J67-[1]SADC!I67-I67,0)</f>
        <v>589691.80000000005</v>
      </c>
      <c r="M67" s="182">
        <f>+IF(K67+[1]SADC!K67-[1]SADC!L67-L67&gt;0,K67+[1]SADC!K67-[1]SADC!L67-L67,0)</f>
        <v>0</v>
      </c>
      <c r="N67" s="182">
        <f>+IF(L67+[1]SADC!L67-[1]SADC!K67-K67&gt;0,L67+[1]SADC!L67-[1]SADC!K67-K67,0)</f>
        <v>589691.80000000005</v>
      </c>
      <c r="O67" s="182">
        <f>+IF(M67+[1]SADC!M67-[1]SADC!N67-N67&gt;0,M67+[1]SADC!M67-[1]SADC!N67-N67,0)</f>
        <v>0</v>
      </c>
      <c r="P67" s="182">
        <f>+IF(N67+[1]SADC!N67-[1]SADC!M67-M67&gt;0,N67+[1]SADC!N67-[1]SADC!M67-M67,0)</f>
        <v>589691.80000000005</v>
      </c>
      <c r="Q67" s="182">
        <f>+IF(O67+[1]SADC!O67-[1]SADC!P67-P67&gt;0,O67+[1]SADC!O67-[1]SADC!P67-P67,0)</f>
        <v>0</v>
      </c>
      <c r="R67" s="182">
        <f>+IF(P67+[1]SADC!P67-[1]SADC!O67-O67&gt;0,P67+[1]SADC!P67-[1]SADC!O67-O67,0)</f>
        <v>589691.80000000005</v>
      </c>
      <c r="S67" s="182">
        <f>+IF(Q67+[1]SADC!Q67-[1]SADC!R67-R67&gt;0,Q67+[1]SADC!Q67-[1]SADC!R67-R67,0)</f>
        <v>0</v>
      </c>
      <c r="T67" s="182">
        <f>+IF(R67+[1]SADC!R67-[1]SADC!Q67-Q67&gt;0,R67+[1]SADC!R67-[1]SADC!Q67-Q67,0)</f>
        <v>589691.80000000005</v>
      </c>
      <c r="U67" s="182">
        <f>+IF(S67+[1]SADC!S67-[1]SADC!T67-T67&gt;0,S67+[1]SADC!S67-[1]SADC!T67-T67,0)</f>
        <v>0</v>
      </c>
      <c r="V67" s="182">
        <f>+IF(T67+[1]SADC!T67-[1]SADC!S67-S67&gt;0,T67+[1]SADC!T67-[1]SADC!S67-S67,0)</f>
        <v>589691.80000000005</v>
      </c>
      <c r="W67" s="182">
        <f>+IF(U67+[1]SADC!U67-[1]SADC!V67-V67&gt;0,U67+[1]SADC!U67-[1]SADC!V67-V67,0)</f>
        <v>0</v>
      </c>
      <c r="X67" s="182">
        <f>+IF(V67+[1]SADC!V67-[1]SADC!U67-U67&gt;0,V67+[1]SADC!V67-[1]SADC!U67-U67,0)</f>
        <v>589691.80000000005</v>
      </c>
      <c r="Y67" s="182">
        <f>+IF(W67+[1]SADC!W67-[1]SADC!X67-X67&gt;0,W67+[1]SADC!W67-[1]SADC!X67-X67,0)</f>
        <v>0</v>
      </c>
      <c r="Z67" s="182">
        <f>+IF(X67+[1]SADC!X67-[1]SADC!W67-W67&gt;0,X67+[1]SADC!X67-[1]SADC!W67-W67,0)</f>
        <v>589691.80000000005</v>
      </c>
      <c r="AA67" s="182">
        <f>+IF(Y67+[1]SADC!Y67-[1]SADC!Z67-Z67&gt;0,Y67+[1]SADC!Y67-[1]SADC!Z67-Z67,0)</f>
        <v>0</v>
      </c>
      <c r="AB67" s="182">
        <f>+IF(Z67+[1]SADC!Z67-[1]SADC!Y67-Y67&gt;0,Z67+[1]SADC!Z67-[1]SADC!Y67-Y67,0)</f>
        <v>589691.80000000005</v>
      </c>
      <c r="AC67" s="181"/>
      <c r="AD67" s="182">
        <f t="shared" si="0"/>
        <v>0</v>
      </c>
      <c r="AE67" s="182">
        <f t="shared" si="0"/>
        <v>589691.80000000005</v>
      </c>
      <c r="AF67" s="181"/>
    </row>
    <row r="68" spans="1:32">
      <c r="A68" s="181" t="str">
        <f>+VLOOKUP(B68,'[1]coa-mgb'!A$1:B$65536,2,0)</f>
        <v>Due to Officers and Employees</v>
      </c>
      <c r="B68" s="184" t="s">
        <v>88</v>
      </c>
      <c r="C68" s="182">
        <f>+SUMIFS('[1]20101020 00'!$F$1:$F$65536,'[1]20101020 00'!$D$1:$D$65536,"Beginning Balance",'[1]20101020 00'!$D$1:$D$65536,"Beginning Balance")</f>
        <v>0</v>
      </c>
      <c r="D68" s="182">
        <f>+SUMIFS('[1]20101020 00'!$H$1:$H$65536,'[1]20101020 00'!$D$1:$D$65536,"Beginning Balance",'[1]20101020 00'!$D$1:$D$65536,"Beginning Balance")</f>
        <v>0</v>
      </c>
      <c r="E68" s="182">
        <f>+IF(C68+[1]SADC!C68-[1]SADC!D68-D68&gt;0,C68+[1]SADC!C68-[1]SADC!D68-D68,0)</f>
        <v>0</v>
      </c>
      <c r="F68" s="182">
        <f>+IF(D68+[1]SADC!D68-[1]SADC!C68-C68&gt;0,D68+[1]SADC!D68-[1]SADC!C68-C68,0)</f>
        <v>0</v>
      </c>
      <c r="G68" s="182">
        <f>+IF(E68+[1]SADC!E68-[1]SADC!F68-F68&gt;0,E68+[1]SADC!E68-[1]SADC!F68-F68,0)</f>
        <v>0</v>
      </c>
      <c r="H68" s="182">
        <f>+IF(F68+[1]SADC!F68-[1]SADC!E68-E68&gt;0,F68+[1]SADC!F68-[1]SADC!E68-E68,0)</f>
        <v>5.8207660913467407E-11</v>
      </c>
      <c r="I68" s="182">
        <f>+IF(G68+[1]SADC!G68-[1]SADC!H68-H68&gt;0,G68+[1]SADC!G68-[1]SADC!H68-H68,0)</f>
        <v>0</v>
      </c>
      <c r="J68" s="182">
        <f>+IF(H68+[1]SADC!H68-[1]SADC!G68-G68&gt;0,H68+[1]SADC!H68-[1]SADC!G68-G68,0)</f>
        <v>1.1641532182693481E-10</v>
      </c>
      <c r="K68" s="182">
        <f>+IF(I68+[1]SADC!I68-[1]SADC!J68-J68&gt;0,I68+[1]SADC!I68-[1]SADC!J68-J68,0)</f>
        <v>0</v>
      </c>
      <c r="L68" s="182">
        <f>+IF(J68+[1]SADC!J68-[1]SADC!I68-I68&gt;0,J68+[1]SADC!J68-[1]SADC!I68-I68,0)</f>
        <v>1.1641532182693481E-10</v>
      </c>
      <c r="M68" s="182">
        <f>+IF(K68+[1]SADC!K68-[1]SADC!L68-L68&gt;0,K68+[1]SADC!K68-[1]SADC!L68-L68,0)</f>
        <v>0</v>
      </c>
      <c r="N68" s="182">
        <f>+IF(L68+[1]SADC!L68-[1]SADC!K68-K68&gt;0,L68+[1]SADC!L68-[1]SADC!K68-K68,0)</f>
        <v>1.1641532182693481E-10</v>
      </c>
      <c r="O68" s="182">
        <f>+IF(M68+[1]SADC!M68-[1]SADC!N68-N68&gt;0,M68+[1]SADC!M68-[1]SADC!N68-N68,0)</f>
        <v>0</v>
      </c>
      <c r="P68" s="182">
        <f>+IF(N68+[1]SADC!N68-[1]SADC!M68-M68&gt;0,N68+[1]SADC!N68-[1]SADC!M68-M68,0)</f>
        <v>1.1641532182693481E-10</v>
      </c>
      <c r="Q68" s="182">
        <f>+IF(O68+[1]SADC!O68-[1]SADC!P68-P68&gt;0,O68+[1]SADC!O68-[1]SADC!P68-P68,0)</f>
        <v>0</v>
      </c>
      <c r="R68" s="182">
        <f>+IF(P68+[1]SADC!P68-[1]SADC!O68-O68&gt;0,P68+[1]SADC!P68-[1]SADC!O68-O68,0)</f>
        <v>1.1641532182693481E-10</v>
      </c>
      <c r="S68" s="182">
        <f>+IF(Q68+[1]SADC!Q68-[1]SADC!R68-R68&gt;0,Q68+[1]SADC!Q68-[1]SADC!R68-R68,0)</f>
        <v>0</v>
      </c>
      <c r="T68" s="182">
        <f>+IF(R68+[1]SADC!R68-[1]SADC!Q68-Q68&gt;0,R68+[1]SADC!R68-[1]SADC!Q68-Q68,0)</f>
        <v>1.1641532182693481E-10</v>
      </c>
      <c r="U68" s="182">
        <f>+IF(S68+[1]SADC!S68-[1]SADC!T68-T68&gt;0,S68+[1]SADC!S68-[1]SADC!T68-T68,0)</f>
        <v>0</v>
      </c>
      <c r="V68" s="182">
        <f>+IF(T68+[1]SADC!T68-[1]SADC!S68-S68&gt;0,T68+[1]SADC!T68-[1]SADC!S68-S68,0)</f>
        <v>1.1641532182693481E-10</v>
      </c>
      <c r="W68" s="182">
        <f>+IF(U68+[1]SADC!U68-[1]SADC!V68-V68&gt;0,U68+[1]SADC!U68-[1]SADC!V68-V68,0)</f>
        <v>0</v>
      </c>
      <c r="X68" s="182">
        <f>+IF(V68+[1]SADC!V68-[1]SADC!U68-U68&gt;0,V68+[1]SADC!V68-[1]SADC!U68-U68,0)</f>
        <v>1.1641532182693481E-10</v>
      </c>
      <c r="Y68" s="182">
        <f>+IF(W68+[1]SADC!W68-[1]SADC!X68-X68&gt;0,W68+[1]SADC!W68-[1]SADC!X68-X68,0)</f>
        <v>0</v>
      </c>
      <c r="Z68" s="182">
        <f>+IF(X68+[1]SADC!X68-[1]SADC!W68-W68&gt;0,X68+[1]SADC!X68-[1]SADC!W68-W68,0)</f>
        <v>1.1641532182693481E-10</v>
      </c>
      <c r="AA68" s="182">
        <f>+IF(Y68+[1]SADC!Y68-[1]SADC!Z68-Z68&gt;0,Y68+[1]SADC!Y68-[1]SADC!Z68-Z68,0)</f>
        <v>0</v>
      </c>
      <c r="AB68" s="182">
        <f>+IF(Z68+[1]SADC!Z68-[1]SADC!Y68-Y68&gt;0,Z68+[1]SADC!Z68-[1]SADC!Y68-Y68,0)</f>
        <v>1.1641532182693481E-10</v>
      </c>
      <c r="AC68" s="181"/>
      <c r="AD68" s="182">
        <f t="shared" si="0"/>
        <v>0</v>
      </c>
      <c r="AE68" s="182">
        <f t="shared" si="0"/>
        <v>1.1641532182693481E-10</v>
      </c>
      <c r="AF68" s="181"/>
    </row>
    <row r="69" spans="1:32">
      <c r="A69" s="181" t="str">
        <f>+VLOOKUP(B69,'[1]coa-mgb'!A$1:B$65536,2,0)</f>
        <v>Due to BIR</v>
      </c>
      <c r="B69" s="184" t="s">
        <v>89</v>
      </c>
      <c r="C69" s="182">
        <f>+SUMIFS('[1]20201010 00'!$F$1:$F$65536,'[1]20201010 00'!$D$1:$D$65536,"Beginning Balance",'[1]20201010 00'!$D$1:$D$65536,"Beginning Balance")</f>
        <v>0</v>
      </c>
      <c r="D69" s="182">
        <f>+SUMIFS('[1]20201010 00'!$H$1:$H$65536,'[1]20201010 00'!$D$1:$D$65536,"Beginning Balance",'[1]20201010 00'!$D$1:$D$65536,"Beginning Balance")</f>
        <v>263012.27999999997</v>
      </c>
      <c r="E69" s="182">
        <f>+IF(C69+[1]SADC!C69-[1]SADC!D69-D69&gt;0,C69+[1]SADC!C69-[1]SADC!D69-D69,0)</f>
        <v>0</v>
      </c>
      <c r="F69" s="182">
        <f>+IF(D69+[1]SADC!D69-[1]SADC!C69-C69&gt;0,D69+[1]SADC!D69-[1]SADC!C69-C69,0)</f>
        <v>186916.78999999998</v>
      </c>
      <c r="G69" s="182">
        <f>+IF(E69+[1]SADC!E69-[1]SADC!F69-F69&gt;0,E69+[1]SADC!E69-[1]SADC!F69-F69,0)</f>
        <v>0</v>
      </c>
      <c r="H69" s="182">
        <f>+IF(F69+[1]SADC!F69-[1]SADC!E69-E69&gt;0,F69+[1]SADC!F69-[1]SADC!E69-E69,0)</f>
        <v>193771.72999999998</v>
      </c>
      <c r="I69" s="182">
        <f>+IF(G69+[1]SADC!G69-[1]SADC!H69-H69&gt;0,G69+[1]SADC!G69-[1]SADC!H69-H69,0)</f>
        <v>0</v>
      </c>
      <c r="J69" s="182">
        <f>+IF(H69+[1]SADC!H69-[1]SADC!G69-G69&gt;0,H69+[1]SADC!H69-[1]SADC!G69-G69,0)</f>
        <v>198709.60999999996</v>
      </c>
      <c r="K69" s="182">
        <f>+IF(I69+[1]SADC!I69-[1]SADC!J69-J69&gt;0,I69+[1]SADC!I69-[1]SADC!J69-J69,0)</f>
        <v>0</v>
      </c>
      <c r="L69" s="182">
        <f>+IF(J69+[1]SADC!J69-[1]SADC!I69-I69&gt;0,J69+[1]SADC!J69-[1]SADC!I69-I69,0)</f>
        <v>198709.60999999996</v>
      </c>
      <c r="M69" s="182">
        <f>+IF(K69+[1]SADC!K69-[1]SADC!L69-L69&gt;0,K69+[1]SADC!K69-[1]SADC!L69-L69,0)</f>
        <v>0</v>
      </c>
      <c r="N69" s="182">
        <f>+IF(L69+[1]SADC!L69-[1]SADC!K69-K69&gt;0,L69+[1]SADC!L69-[1]SADC!K69-K69,0)</f>
        <v>198709.60999999996</v>
      </c>
      <c r="O69" s="182">
        <f>+IF(M69+[1]SADC!M69-[1]SADC!N69-N69&gt;0,M69+[1]SADC!M69-[1]SADC!N69-N69,0)</f>
        <v>0</v>
      </c>
      <c r="P69" s="182">
        <f>+IF(N69+[1]SADC!N69-[1]SADC!M69-M69&gt;0,N69+[1]SADC!N69-[1]SADC!M69-M69,0)</f>
        <v>198709.60999999996</v>
      </c>
      <c r="Q69" s="182">
        <f>+IF(O69+[1]SADC!O69-[1]SADC!P69-P69&gt;0,O69+[1]SADC!O69-[1]SADC!P69-P69,0)</f>
        <v>0</v>
      </c>
      <c r="R69" s="182">
        <f>+IF(P69+[1]SADC!P69-[1]SADC!O69-O69&gt;0,P69+[1]SADC!P69-[1]SADC!O69-O69,0)</f>
        <v>198709.60999999996</v>
      </c>
      <c r="S69" s="182">
        <f>+IF(Q69+[1]SADC!Q69-[1]SADC!R69-R69&gt;0,Q69+[1]SADC!Q69-[1]SADC!R69-R69,0)</f>
        <v>0</v>
      </c>
      <c r="T69" s="182">
        <f>+IF(R69+[1]SADC!R69-[1]SADC!Q69-Q69&gt;0,R69+[1]SADC!R69-[1]SADC!Q69-Q69,0)</f>
        <v>198709.60999999996</v>
      </c>
      <c r="U69" s="182">
        <f>+IF(S69+[1]SADC!S69-[1]SADC!T69-T69&gt;0,S69+[1]SADC!S69-[1]SADC!T69-T69,0)</f>
        <v>0</v>
      </c>
      <c r="V69" s="182">
        <f>+IF(T69+[1]SADC!T69-[1]SADC!S69-S69&gt;0,T69+[1]SADC!T69-[1]SADC!S69-S69,0)</f>
        <v>198709.60999999996</v>
      </c>
      <c r="W69" s="182">
        <f>+IF(U69+[1]SADC!U69-[1]SADC!V69-V69&gt;0,U69+[1]SADC!U69-[1]SADC!V69-V69,0)</f>
        <v>0</v>
      </c>
      <c r="X69" s="182">
        <f>+IF(V69+[1]SADC!V69-[1]SADC!U69-U69&gt;0,V69+[1]SADC!V69-[1]SADC!U69-U69,0)</f>
        <v>198709.60999999996</v>
      </c>
      <c r="Y69" s="182">
        <f>+IF(W69+[1]SADC!W69-[1]SADC!X69-X69&gt;0,W69+[1]SADC!W69-[1]SADC!X69-X69,0)</f>
        <v>0</v>
      </c>
      <c r="Z69" s="182">
        <f>+IF(X69+[1]SADC!X69-[1]SADC!W69-W69&gt;0,X69+[1]SADC!X69-[1]SADC!W69-W69,0)</f>
        <v>198709.60999999996</v>
      </c>
      <c r="AA69" s="182">
        <f>+IF(Y69+[1]SADC!Y69-[1]SADC!Z69-Z69&gt;0,Y69+[1]SADC!Y69-[1]SADC!Z69-Z69,0)</f>
        <v>0</v>
      </c>
      <c r="AB69" s="182">
        <f>+IF(Z69+[1]SADC!Z69-[1]SADC!Y69-Y69&gt;0,Z69+[1]SADC!Z69-[1]SADC!Y69-Y69,0)</f>
        <v>198709.60999999996</v>
      </c>
      <c r="AC69" s="181"/>
      <c r="AD69" s="182">
        <f t="shared" si="0"/>
        <v>0</v>
      </c>
      <c r="AE69" s="182">
        <f t="shared" si="0"/>
        <v>198709.60999999996</v>
      </c>
      <c r="AF69" s="181"/>
    </row>
    <row r="70" spans="1:32">
      <c r="A70" s="181" t="str">
        <f>+VLOOKUP(B70,'[1]coa-mgb'!A$1:B$65536,2,0)</f>
        <v xml:space="preserve">Due to GSIS </v>
      </c>
      <c r="B70" s="184" t="s">
        <v>90</v>
      </c>
      <c r="C70" s="182">
        <f>+SUMIFS('[1]20201020 00'!$F$1:$F$65536,'[1]20201020 00'!$D$1:$D$65536,"Beginning Balance",'[1]20201020 00'!$D$1:$D$65536,"Beginning Balance")</f>
        <v>0</v>
      </c>
      <c r="D70" s="182">
        <f>+SUMIFS('[1]20201020 00'!$H$1:$H$65536,'[1]20201020 00'!$D$1:$D$65536,"Beginning Balance",'[1]20201020 00'!$D$1:$D$65536,"Beginning Balance")</f>
        <v>0</v>
      </c>
      <c r="E70" s="182">
        <f>+IF(C70+[1]SADC!C70-[1]SADC!D70-D70&gt;0,C70+[1]SADC!C70-[1]SADC!D70-D70,0)</f>
        <v>0</v>
      </c>
      <c r="F70" s="182">
        <f>+IF(D70+[1]SADC!D70-[1]SADC!C70-C70&gt;0,D70+[1]SADC!D70-[1]SADC!C70-C70,0)</f>
        <v>0</v>
      </c>
      <c r="G70" s="182">
        <f>+IF(E70+[1]SADC!E70-[1]SADC!F70-F70&gt;0,E70+[1]SADC!E70-[1]SADC!F70-F70,0)</f>
        <v>0</v>
      </c>
      <c r="H70" s="182">
        <f>+IF(F70+[1]SADC!F70-[1]SADC!E70-E70&gt;0,F70+[1]SADC!F70-[1]SADC!E70-E70,0)</f>
        <v>0</v>
      </c>
      <c r="I70" s="182">
        <f>+IF(G70+[1]SADC!G70-[1]SADC!H70-H70&gt;0,G70+[1]SADC!G70-[1]SADC!H70-H70,0)</f>
        <v>5.8207660913467407E-11</v>
      </c>
      <c r="J70" s="182">
        <f>+IF(H70+[1]SADC!H70-[1]SADC!G70-G70&gt;0,H70+[1]SADC!H70-[1]SADC!G70-G70,0)</f>
        <v>0</v>
      </c>
      <c r="K70" s="182">
        <f>+IF(I70+[1]SADC!I70-[1]SADC!J70-J70&gt;0,I70+[1]SADC!I70-[1]SADC!J70-J70,0)</f>
        <v>5.8207660913467407E-11</v>
      </c>
      <c r="L70" s="182">
        <f>+IF(J70+[1]SADC!J70-[1]SADC!I70-I70&gt;0,J70+[1]SADC!J70-[1]SADC!I70-I70,0)</f>
        <v>0</v>
      </c>
      <c r="M70" s="182">
        <f>+IF(K70+[1]SADC!K70-[1]SADC!L70-L70&gt;0,K70+[1]SADC!K70-[1]SADC!L70-L70,0)</f>
        <v>5.8207660913467407E-11</v>
      </c>
      <c r="N70" s="182">
        <f>+IF(L70+[1]SADC!L70-[1]SADC!K70-K70&gt;0,L70+[1]SADC!L70-[1]SADC!K70-K70,0)</f>
        <v>0</v>
      </c>
      <c r="O70" s="182">
        <f>+IF(M70+[1]SADC!M70-[1]SADC!N70-N70&gt;0,M70+[1]SADC!M70-[1]SADC!N70-N70,0)</f>
        <v>5.8207660913467407E-11</v>
      </c>
      <c r="P70" s="182">
        <f>+IF(N70+[1]SADC!N70-[1]SADC!M70-M70&gt;0,N70+[1]SADC!N70-[1]SADC!M70-M70,0)</f>
        <v>0</v>
      </c>
      <c r="Q70" s="182">
        <f>+IF(O70+[1]SADC!O70-[1]SADC!P70-P70&gt;0,O70+[1]SADC!O70-[1]SADC!P70-P70,0)</f>
        <v>5.8207660913467407E-11</v>
      </c>
      <c r="R70" s="182">
        <f>+IF(P70+[1]SADC!P70-[1]SADC!O70-O70&gt;0,P70+[1]SADC!P70-[1]SADC!O70-O70,0)</f>
        <v>0</v>
      </c>
      <c r="S70" s="182">
        <f>+IF(Q70+[1]SADC!Q70-[1]SADC!R70-R70&gt;0,Q70+[1]SADC!Q70-[1]SADC!R70-R70,0)</f>
        <v>5.8207660913467407E-11</v>
      </c>
      <c r="T70" s="182">
        <f>+IF(R70+[1]SADC!R70-[1]SADC!Q70-Q70&gt;0,R70+[1]SADC!R70-[1]SADC!Q70-Q70,0)</f>
        <v>0</v>
      </c>
      <c r="U70" s="182">
        <f>+IF(S70+[1]SADC!S70-[1]SADC!T70-T70&gt;0,S70+[1]SADC!S70-[1]SADC!T70-T70,0)</f>
        <v>5.8207660913467407E-11</v>
      </c>
      <c r="V70" s="182">
        <f>+IF(T70+[1]SADC!T70-[1]SADC!S70-S70&gt;0,T70+[1]SADC!T70-[1]SADC!S70-S70,0)</f>
        <v>0</v>
      </c>
      <c r="W70" s="182">
        <f>+IF(U70+[1]SADC!U70-[1]SADC!V70-V70&gt;0,U70+[1]SADC!U70-[1]SADC!V70-V70,0)</f>
        <v>5.8207660913467407E-11</v>
      </c>
      <c r="X70" s="182">
        <f>+IF(V70+[1]SADC!V70-[1]SADC!U70-U70&gt;0,V70+[1]SADC!V70-[1]SADC!U70-U70,0)</f>
        <v>0</v>
      </c>
      <c r="Y70" s="182">
        <f>+IF(W70+[1]SADC!W70-[1]SADC!X70-X70&gt;0,W70+[1]SADC!W70-[1]SADC!X70-X70,0)</f>
        <v>5.8207660913467407E-11</v>
      </c>
      <c r="Z70" s="182">
        <f>+IF(X70+[1]SADC!X70-[1]SADC!W70-W70&gt;0,X70+[1]SADC!X70-[1]SADC!W70-W70,0)</f>
        <v>0</v>
      </c>
      <c r="AA70" s="182">
        <f>+IF(Y70+[1]SADC!Y70-[1]SADC!Z70-Z70&gt;0,Y70+[1]SADC!Y70-[1]SADC!Z70-Z70,0)</f>
        <v>5.8207660913467407E-11</v>
      </c>
      <c r="AB70" s="182">
        <f>+IF(Z70+[1]SADC!Z70-[1]SADC!Y70-Y70&gt;0,Z70+[1]SADC!Z70-[1]SADC!Y70-Y70,0)</f>
        <v>0</v>
      </c>
      <c r="AC70" s="181"/>
      <c r="AD70" s="182">
        <f t="shared" si="0"/>
        <v>5.8207660913467407E-11</v>
      </c>
      <c r="AE70" s="182">
        <f t="shared" si="0"/>
        <v>0</v>
      </c>
      <c r="AF70" s="181"/>
    </row>
    <row r="71" spans="1:32">
      <c r="A71" s="181" t="str">
        <f>+VLOOKUP(B71,'[1]coa-mgb'!A$1:B$65536,2,0)</f>
        <v xml:space="preserve">Due to Pag-IBIG </v>
      </c>
      <c r="B71" s="184" t="s">
        <v>91</v>
      </c>
      <c r="C71" s="182">
        <f>+SUMIFS('[1]20201030 00'!$F$1:$F$65536,'[1]20201030 00'!$D$1:$D$65536,"Beginning Balance",'[1]20201030 00'!$D$1:$D$65536,"Beginning Balance")</f>
        <v>0</v>
      </c>
      <c r="D71" s="182">
        <f>+SUMIFS('[1]20201030 00'!$H$1:$H$65536,'[1]20201030 00'!$D$1:$D$65536,"Beginning Balance",'[1]20201030 00'!$D$1:$D$65536,"Beginning Balance")</f>
        <v>2921</v>
      </c>
      <c r="E71" s="182">
        <f>+IF(C71+[1]SADC!C71-[1]SADC!D71-D71&gt;0,C71+[1]SADC!C71-[1]SADC!D71-D71,0)</f>
        <v>7.2759576141834259E-12</v>
      </c>
      <c r="F71" s="182">
        <f>+IF(D71+[1]SADC!D71-[1]SADC!C71-C71&gt;0,D71+[1]SADC!D71-[1]SADC!C71-C71,0)</f>
        <v>0</v>
      </c>
      <c r="G71" s="182">
        <f>+IF(E71+[1]SADC!E71-[1]SADC!F71-F71&gt;0,E71+[1]SADC!E71-[1]SADC!F71-F71,0)</f>
        <v>0</v>
      </c>
      <c r="H71" s="182">
        <f>+IF(F71+[1]SADC!F71-[1]SADC!E71-E71&gt;0,F71+[1]SADC!F71-[1]SADC!E71-E71,0)</f>
        <v>1799.9999999999927</v>
      </c>
      <c r="I71" s="182">
        <f>+IF(G71+[1]SADC!G71-[1]SADC!H71-H71&gt;0,G71+[1]SADC!G71-[1]SADC!H71-H71,0)</f>
        <v>1.4551915228366852E-11</v>
      </c>
      <c r="J71" s="182">
        <f>+IF(H71+[1]SADC!H71-[1]SADC!G71-G71&gt;0,H71+[1]SADC!H71-[1]SADC!G71-G71,0)</f>
        <v>0</v>
      </c>
      <c r="K71" s="182">
        <f>+IF(I71+[1]SADC!I71-[1]SADC!J71-J71&gt;0,I71+[1]SADC!I71-[1]SADC!J71-J71,0)</f>
        <v>1.4551915228366852E-11</v>
      </c>
      <c r="L71" s="182">
        <f>+IF(J71+[1]SADC!J71-[1]SADC!I71-I71&gt;0,J71+[1]SADC!J71-[1]SADC!I71-I71,0)</f>
        <v>0</v>
      </c>
      <c r="M71" s="182">
        <f>+IF(K71+[1]SADC!K71-[1]SADC!L71-L71&gt;0,K71+[1]SADC!K71-[1]SADC!L71-L71,0)</f>
        <v>1.4551915228366852E-11</v>
      </c>
      <c r="N71" s="182">
        <f>+IF(L71+[1]SADC!L71-[1]SADC!K71-K71&gt;0,L71+[1]SADC!L71-[1]SADC!K71-K71,0)</f>
        <v>0</v>
      </c>
      <c r="O71" s="182">
        <f>+IF(M71+[1]SADC!M71-[1]SADC!N71-N71&gt;0,M71+[1]SADC!M71-[1]SADC!N71-N71,0)</f>
        <v>1.4551915228366852E-11</v>
      </c>
      <c r="P71" s="182">
        <f>+IF(N71+[1]SADC!N71-[1]SADC!M71-M71&gt;0,N71+[1]SADC!N71-[1]SADC!M71-M71,0)</f>
        <v>0</v>
      </c>
      <c r="Q71" s="182">
        <f>+IF(O71+[1]SADC!O71-[1]SADC!P71-P71&gt;0,O71+[1]SADC!O71-[1]SADC!P71-P71,0)</f>
        <v>1.4551915228366852E-11</v>
      </c>
      <c r="R71" s="182">
        <f>+IF(P71+[1]SADC!P71-[1]SADC!O71-O71&gt;0,P71+[1]SADC!P71-[1]SADC!O71-O71,0)</f>
        <v>0</v>
      </c>
      <c r="S71" s="182">
        <f>+IF(Q71+[1]SADC!Q71-[1]SADC!R71-R71&gt;0,Q71+[1]SADC!Q71-[1]SADC!R71-R71,0)</f>
        <v>1.4551915228366852E-11</v>
      </c>
      <c r="T71" s="182">
        <f>+IF(R71+[1]SADC!R71-[1]SADC!Q71-Q71&gt;0,R71+[1]SADC!R71-[1]SADC!Q71-Q71,0)</f>
        <v>0</v>
      </c>
      <c r="U71" s="182">
        <f>+IF(S71+[1]SADC!S71-[1]SADC!T71-T71&gt;0,S71+[1]SADC!S71-[1]SADC!T71-T71,0)</f>
        <v>1.4551915228366852E-11</v>
      </c>
      <c r="V71" s="182">
        <f>+IF(T71+[1]SADC!T71-[1]SADC!S71-S71&gt;0,T71+[1]SADC!T71-[1]SADC!S71-S71,0)</f>
        <v>0</v>
      </c>
      <c r="W71" s="182">
        <f>+IF(U71+[1]SADC!U71-[1]SADC!V71-V71&gt;0,U71+[1]SADC!U71-[1]SADC!V71-V71,0)</f>
        <v>1.4551915228366852E-11</v>
      </c>
      <c r="X71" s="182">
        <f>+IF(V71+[1]SADC!V71-[1]SADC!U71-U71&gt;0,V71+[1]SADC!V71-[1]SADC!U71-U71,0)</f>
        <v>0</v>
      </c>
      <c r="Y71" s="182">
        <f>+IF(W71+[1]SADC!W71-[1]SADC!X71-X71&gt;0,W71+[1]SADC!W71-[1]SADC!X71-X71,0)</f>
        <v>1.4551915228366852E-11</v>
      </c>
      <c r="Z71" s="182">
        <f>+IF(X71+[1]SADC!X71-[1]SADC!W71-W71&gt;0,X71+[1]SADC!X71-[1]SADC!W71-W71,0)</f>
        <v>0</v>
      </c>
      <c r="AA71" s="182">
        <f>+IF(Y71+[1]SADC!Y71-[1]SADC!Z71-Z71&gt;0,Y71+[1]SADC!Y71-[1]SADC!Z71-Z71,0)</f>
        <v>1.4551915228366852E-11</v>
      </c>
      <c r="AB71" s="182">
        <f>+IF(Z71+[1]SADC!Z71-[1]SADC!Y71-Y71&gt;0,Z71+[1]SADC!Z71-[1]SADC!Y71-Y71,0)</f>
        <v>0</v>
      </c>
      <c r="AC71" s="181"/>
      <c r="AD71" s="182">
        <f t="shared" si="0"/>
        <v>1.4551915228366852E-11</v>
      </c>
      <c r="AE71" s="182">
        <f t="shared" si="0"/>
        <v>0</v>
      </c>
      <c r="AF71" s="181"/>
    </row>
    <row r="72" spans="1:32">
      <c r="A72" s="181" t="str">
        <f>+VLOOKUP(B72,'[1]coa-mgb'!A$1:B$65536,2,0)</f>
        <v>Due to PhilHealth</v>
      </c>
      <c r="B72" s="184" t="s">
        <v>92</v>
      </c>
      <c r="C72" s="182">
        <f>+SUMIFS('[1]20201040 00'!$F$1:$F$65536,'[1]20201040 00'!$D$1:$D$65536,"Beginning Balance",'[1]20201040 00'!$D$1:$D$65536,"Beginning Balance")</f>
        <v>0</v>
      </c>
      <c r="D72" s="182">
        <f>+SUMIFS('[1]20201040 00'!$H$1:$H$65536,'[1]20201040 00'!$D$1:$D$65536,"Beginning Balance",'[1]20201040 00'!$D$1:$D$65536,"Beginning Balance")</f>
        <v>0</v>
      </c>
      <c r="E72" s="182">
        <f>+IF(C72+[1]SADC!C72-[1]SADC!D72-D72&gt;0,C72+[1]SADC!C72-[1]SADC!D72-D72,0)</f>
        <v>0</v>
      </c>
      <c r="F72" s="182">
        <f>+IF(D72+[1]SADC!D72-[1]SADC!C72-C72&gt;0,D72+[1]SADC!D72-[1]SADC!C72-C72,0)</f>
        <v>0</v>
      </c>
      <c r="G72" s="182">
        <f>+IF(E72+[1]SADC!E72-[1]SADC!F72-F72&gt;0,E72+[1]SADC!E72-[1]SADC!F72-F72,0)</f>
        <v>0</v>
      </c>
      <c r="H72" s="182">
        <f>+IF(F72+[1]SADC!F72-[1]SADC!E72-E72&gt;0,F72+[1]SADC!F72-[1]SADC!E72-E72,0)</f>
        <v>0</v>
      </c>
      <c r="I72" s="182">
        <f>+IF(G72+[1]SADC!G72-[1]SADC!H72-H72&gt;0,G72+[1]SADC!G72-[1]SADC!H72-H72,0)</f>
        <v>0</v>
      </c>
      <c r="J72" s="182">
        <f>+IF(H72+[1]SADC!H72-[1]SADC!G72-G72&gt;0,H72+[1]SADC!H72-[1]SADC!G72-G72,0)</f>
        <v>1700</v>
      </c>
      <c r="K72" s="182">
        <f>+IF(I72+[1]SADC!I72-[1]SADC!J72-J72&gt;0,I72+[1]SADC!I72-[1]SADC!J72-J72,0)</f>
        <v>0</v>
      </c>
      <c r="L72" s="182">
        <f>+IF(J72+[1]SADC!J72-[1]SADC!I72-I72&gt;0,J72+[1]SADC!J72-[1]SADC!I72-I72,0)</f>
        <v>1700</v>
      </c>
      <c r="M72" s="182">
        <f>+IF(K72+[1]SADC!K72-[1]SADC!L72-L72&gt;0,K72+[1]SADC!K72-[1]SADC!L72-L72,0)</f>
        <v>0</v>
      </c>
      <c r="N72" s="182">
        <f>+IF(L72+[1]SADC!L72-[1]SADC!K72-K72&gt;0,L72+[1]SADC!L72-[1]SADC!K72-K72,0)</f>
        <v>1700</v>
      </c>
      <c r="O72" s="182">
        <f>+IF(M72+[1]SADC!M72-[1]SADC!N72-N72&gt;0,M72+[1]SADC!M72-[1]SADC!N72-N72,0)</f>
        <v>0</v>
      </c>
      <c r="P72" s="182">
        <f>+IF(N72+[1]SADC!N72-[1]SADC!M72-M72&gt;0,N72+[1]SADC!N72-[1]SADC!M72-M72,0)</f>
        <v>1700</v>
      </c>
      <c r="Q72" s="182">
        <f>+IF(O72+[1]SADC!O72-[1]SADC!P72-P72&gt;0,O72+[1]SADC!O72-[1]SADC!P72-P72,0)</f>
        <v>0</v>
      </c>
      <c r="R72" s="182">
        <f>+IF(P72+[1]SADC!P72-[1]SADC!O72-O72&gt;0,P72+[1]SADC!P72-[1]SADC!O72-O72,0)</f>
        <v>1700</v>
      </c>
      <c r="S72" s="182">
        <f>+IF(Q72+[1]SADC!Q72-[1]SADC!R72-R72&gt;0,Q72+[1]SADC!Q72-[1]SADC!R72-R72,0)</f>
        <v>0</v>
      </c>
      <c r="T72" s="182">
        <f>+IF(R72+[1]SADC!R72-[1]SADC!Q72-Q72&gt;0,R72+[1]SADC!R72-[1]SADC!Q72-Q72,0)</f>
        <v>1700</v>
      </c>
      <c r="U72" s="182">
        <f>+IF(S72+[1]SADC!S72-[1]SADC!T72-T72&gt;0,S72+[1]SADC!S72-[1]SADC!T72-T72,0)</f>
        <v>0</v>
      </c>
      <c r="V72" s="182">
        <f>+IF(T72+[1]SADC!T72-[1]SADC!S72-S72&gt;0,T72+[1]SADC!T72-[1]SADC!S72-S72,0)</f>
        <v>1700</v>
      </c>
      <c r="W72" s="182">
        <f>+IF(U72+[1]SADC!U72-[1]SADC!V72-V72&gt;0,U72+[1]SADC!U72-[1]SADC!V72-V72,0)</f>
        <v>0</v>
      </c>
      <c r="X72" s="182">
        <f>+IF(V72+[1]SADC!V72-[1]SADC!U72-U72&gt;0,V72+[1]SADC!V72-[1]SADC!U72-U72,0)</f>
        <v>1700</v>
      </c>
      <c r="Y72" s="182">
        <f>+IF(W72+[1]SADC!W72-[1]SADC!X72-X72&gt;0,W72+[1]SADC!W72-[1]SADC!X72-X72,0)</f>
        <v>0</v>
      </c>
      <c r="Z72" s="182">
        <f>+IF(X72+[1]SADC!X72-[1]SADC!W72-W72&gt;0,X72+[1]SADC!X72-[1]SADC!W72-W72,0)</f>
        <v>1700</v>
      </c>
      <c r="AA72" s="182">
        <f>+IF(Y72+[1]SADC!Y72-[1]SADC!Z72-Z72&gt;0,Y72+[1]SADC!Y72-[1]SADC!Z72-Z72,0)</f>
        <v>0</v>
      </c>
      <c r="AB72" s="182">
        <f>+IF(Z72+[1]SADC!Z72-[1]SADC!Y72-Y72&gt;0,Z72+[1]SADC!Z72-[1]SADC!Y72-Y72,0)</f>
        <v>1700</v>
      </c>
      <c r="AC72" s="181"/>
      <c r="AD72" s="182">
        <f t="shared" si="0"/>
        <v>0</v>
      </c>
      <c r="AE72" s="182">
        <f t="shared" si="0"/>
        <v>1700</v>
      </c>
      <c r="AF72" s="181"/>
    </row>
    <row r="73" spans="1:32">
      <c r="A73" s="181" t="str">
        <f>+VLOOKUP(B73,'[1]coa-mgb'!A$1:B$65536,2,0)</f>
        <v>Due to Other NGAs</v>
      </c>
      <c r="B73" s="184" t="s">
        <v>93</v>
      </c>
      <c r="C73" s="182">
        <f>+SUMIFS('[1]20201050 00'!$F$1:$F$65536,'[1]20201050 00'!$D$1:$D$65536,"Beginning Balance",'[1]20201050 00'!$D$1:$D$65536,"Beginning Balance")</f>
        <v>0</v>
      </c>
      <c r="D73" s="182">
        <f>+SUMIFS('[1]20201050 00'!$H$1:$H$65536,'[1]20201050 00'!$D$1:$D$65536,"Beginning Balance",'[1]20201050 00'!$D$1:$D$65536,"Beginning Balance")</f>
        <v>0</v>
      </c>
      <c r="E73" s="182">
        <f>+IF(C73+[1]SADC!C73-[1]SADC!D73-D73&gt;0,C73+[1]SADC!C73-[1]SADC!D73-D73,0)</f>
        <v>0</v>
      </c>
      <c r="F73" s="182">
        <f>+IF(D73+[1]SADC!D73-[1]SADC!C73-C73&gt;0,D73+[1]SADC!D73-[1]SADC!C73-C73,0)</f>
        <v>0</v>
      </c>
      <c r="G73" s="182">
        <f>+IF(E73+[1]SADC!E73-[1]SADC!F73-F73&gt;0,E73+[1]SADC!E73-[1]SADC!F73-F73,0)</f>
        <v>0</v>
      </c>
      <c r="H73" s="182">
        <f>+IF(F73+[1]SADC!F73-[1]SADC!E73-E73&gt;0,F73+[1]SADC!F73-[1]SADC!E73-E73,0)</f>
        <v>0</v>
      </c>
      <c r="I73" s="182">
        <f>+IF(G73+[1]SADC!G73-[1]SADC!H73-H73&gt;0,G73+[1]SADC!G73-[1]SADC!H73-H73,0)</f>
        <v>0</v>
      </c>
      <c r="J73" s="182">
        <f>+IF(H73+[1]SADC!H73-[1]SADC!G73-G73&gt;0,H73+[1]SADC!H73-[1]SADC!G73-G73,0)</f>
        <v>0</v>
      </c>
      <c r="K73" s="182">
        <f>+IF(I73+[1]SADC!I73-[1]SADC!J73-J73&gt;0,I73+[1]SADC!I73-[1]SADC!J73-J73,0)</f>
        <v>0</v>
      </c>
      <c r="L73" s="182">
        <f>+IF(J73+[1]SADC!J73-[1]SADC!I73-I73&gt;0,J73+[1]SADC!J73-[1]SADC!I73-I73,0)</f>
        <v>0</v>
      </c>
      <c r="M73" s="182">
        <f>+IF(K73+[1]SADC!K73-[1]SADC!L73-L73&gt;0,K73+[1]SADC!K73-[1]SADC!L73-L73,0)</f>
        <v>0</v>
      </c>
      <c r="N73" s="182">
        <f>+IF(L73+[1]SADC!L73-[1]SADC!K73-K73&gt;0,L73+[1]SADC!L73-[1]SADC!K73-K73,0)</f>
        <v>0</v>
      </c>
      <c r="O73" s="182">
        <f>+IF(M73+[1]SADC!M73-[1]SADC!N73-N73&gt;0,M73+[1]SADC!M73-[1]SADC!N73-N73,0)</f>
        <v>0</v>
      </c>
      <c r="P73" s="182">
        <f>+IF(N73+[1]SADC!N73-[1]SADC!M73-M73&gt;0,N73+[1]SADC!N73-[1]SADC!M73-M73,0)</f>
        <v>0</v>
      </c>
      <c r="Q73" s="182">
        <f>+IF(O73+[1]SADC!O73-[1]SADC!P73-P73&gt;0,O73+[1]SADC!O73-[1]SADC!P73-P73,0)</f>
        <v>0</v>
      </c>
      <c r="R73" s="182">
        <f>+IF(P73+[1]SADC!P73-[1]SADC!O73-O73&gt;0,P73+[1]SADC!P73-[1]SADC!O73-O73,0)</f>
        <v>0</v>
      </c>
      <c r="S73" s="182">
        <f>+IF(Q73+[1]SADC!Q73-[1]SADC!R73-R73&gt;0,Q73+[1]SADC!Q73-[1]SADC!R73-R73,0)</f>
        <v>0</v>
      </c>
      <c r="T73" s="182">
        <f>+IF(R73+[1]SADC!R73-[1]SADC!Q73-Q73&gt;0,R73+[1]SADC!R73-[1]SADC!Q73-Q73,0)</f>
        <v>0</v>
      </c>
      <c r="U73" s="182">
        <f>+IF(S73+[1]SADC!S73-[1]SADC!T73-T73&gt;0,S73+[1]SADC!S73-[1]SADC!T73-T73,0)</f>
        <v>0</v>
      </c>
      <c r="V73" s="182">
        <f>+IF(T73+[1]SADC!T73-[1]SADC!S73-S73&gt;0,T73+[1]SADC!T73-[1]SADC!S73-S73,0)</f>
        <v>0</v>
      </c>
      <c r="W73" s="182">
        <f>+IF(U73+[1]SADC!U73-[1]SADC!V73-V73&gt;0,U73+[1]SADC!U73-[1]SADC!V73-V73,0)</f>
        <v>0</v>
      </c>
      <c r="X73" s="182">
        <f>+IF(V73+[1]SADC!V73-[1]SADC!U73-U73&gt;0,V73+[1]SADC!V73-[1]SADC!U73-U73,0)</f>
        <v>0</v>
      </c>
      <c r="Y73" s="182">
        <f>+IF(W73+[1]SADC!W73-[1]SADC!X73-X73&gt;0,W73+[1]SADC!W73-[1]SADC!X73-X73,0)</f>
        <v>0</v>
      </c>
      <c r="Z73" s="182">
        <f>+IF(X73+[1]SADC!X73-[1]SADC!W73-W73&gt;0,X73+[1]SADC!X73-[1]SADC!W73-W73,0)</f>
        <v>0</v>
      </c>
      <c r="AA73" s="182">
        <f>+IF(Y73+[1]SADC!Y73-[1]SADC!Z73-Z73&gt;0,Y73+[1]SADC!Y73-[1]SADC!Z73-Z73,0)</f>
        <v>0</v>
      </c>
      <c r="AB73" s="182">
        <f>+IF(Z73+[1]SADC!Z73-[1]SADC!Y73-Y73&gt;0,Z73+[1]SADC!Z73-[1]SADC!Y73-Y73,0)</f>
        <v>0</v>
      </c>
      <c r="AC73" s="181"/>
      <c r="AD73" s="182">
        <f t="shared" si="0"/>
        <v>0</v>
      </c>
      <c r="AE73" s="182">
        <f t="shared" si="0"/>
        <v>0</v>
      </c>
      <c r="AF73" s="181"/>
    </row>
    <row r="74" spans="1:32">
      <c r="A74" s="181" t="str">
        <f>+VLOOKUP(B74,'[1]coa-mgb'!A$1:B$65536,2,0)</f>
        <v>Due to GOCCs</v>
      </c>
      <c r="B74" s="184" t="s">
        <v>94</v>
      </c>
      <c r="C74" s="182">
        <f>+SUMIFS('[1]20201060 00'!$F$1:$F$65536,'[1]20201060 00'!$D$1:$D$65536,"Beginning Balance",'[1]20201060 00'!$D$1:$D$65536,"Beginning Balance")</f>
        <v>0</v>
      </c>
      <c r="D74" s="182">
        <f>+SUMIFS('[1]20201060 00'!$H$1:$H$65536,'[1]20201060 00'!$D$1:$D$65536,"Beginning Balance",'[1]20201060 00'!$D$1:$D$65536,"Beginning Balance")</f>
        <v>0</v>
      </c>
      <c r="E74" s="182">
        <f>+IF(C74+[1]SADC!C74-[1]SADC!D74-D74&gt;0,C74+[1]SADC!C74-[1]SADC!D74-D74,0)</f>
        <v>0</v>
      </c>
      <c r="F74" s="182">
        <f>+IF(D74+[1]SADC!D74-[1]SADC!C74-C74&gt;0,D74+[1]SADC!D74-[1]SADC!C74-C74,0)</f>
        <v>0</v>
      </c>
      <c r="G74" s="182">
        <f>+IF(E74+[1]SADC!E74-[1]SADC!F74-F74&gt;0,E74+[1]SADC!E74-[1]SADC!F74-F74,0)</f>
        <v>0</v>
      </c>
      <c r="H74" s="182">
        <f>+IF(F74+[1]SADC!F74-[1]SADC!E74-E74&gt;0,F74+[1]SADC!F74-[1]SADC!E74-E74,0)</f>
        <v>0</v>
      </c>
      <c r="I74" s="182">
        <f>+IF(G74+[1]SADC!G74-[1]SADC!H74-H74&gt;0,G74+[1]SADC!G74-[1]SADC!H74-H74,0)</f>
        <v>0</v>
      </c>
      <c r="J74" s="182">
        <f>+IF(H74+[1]SADC!H74-[1]SADC!G74-G74&gt;0,H74+[1]SADC!H74-[1]SADC!G74-G74,0)</f>
        <v>0</v>
      </c>
      <c r="K74" s="182">
        <f>+IF(I74+[1]SADC!I74-[1]SADC!J74-J74&gt;0,I74+[1]SADC!I74-[1]SADC!J74-J74,0)</f>
        <v>0</v>
      </c>
      <c r="L74" s="182">
        <f>+IF(J74+[1]SADC!J74-[1]SADC!I74-I74&gt;0,J74+[1]SADC!J74-[1]SADC!I74-I74,0)</f>
        <v>0</v>
      </c>
      <c r="M74" s="182">
        <f>+IF(K74+[1]SADC!K74-[1]SADC!L74-L74&gt;0,K74+[1]SADC!K74-[1]SADC!L74-L74,0)</f>
        <v>0</v>
      </c>
      <c r="N74" s="182">
        <f>+IF(L74+[1]SADC!L74-[1]SADC!K74-K74&gt;0,L74+[1]SADC!L74-[1]SADC!K74-K74,0)</f>
        <v>0</v>
      </c>
      <c r="O74" s="182">
        <f>+IF(M74+[1]SADC!M74-[1]SADC!N74-N74&gt;0,M74+[1]SADC!M74-[1]SADC!N74-N74,0)</f>
        <v>0</v>
      </c>
      <c r="P74" s="182">
        <f>+IF(N74+[1]SADC!N74-[1]SADC!M74-M74&gt;0,N74+[1]SADC!N74-[1]SADC!M74-M74,0)</f>
        <v>0</v>
      </c>
      <c r="Q74" s="182">
        <f>+IF(O74+[1]SADC!O74-[1]SADC!P74-P74&gt;0,O74+[1]SADC!O74-[1]SADC!P74-P74,0)</f>
        <v>0</v>
      </c>
      <c r="R74" s="182">
        <f>+IF(P74+[1]SADC!P74-[1]SADC!O74-O74&gt;0,P74+[1]SADC!P74-[1]SADC!O74-O74,0)</f>
        <v>0</v>
      </c>
      <c r="S74" s="182">
        <f>+IF(Q74+[1]SADC!Q74-[1]SADC!R74-R74&gt;0,Q74+[1]SADC!Q74-[1]SADC!R74-R74,0)</f>
        <v>0</v>
      </c>
      <c r="T74" s="182">
        <f>+IF(R74+[1]SADC!R74-[1]SADC!Q74-Q74&gt;0,R74+[1]SADC!R74-[1]SADC!Q74-Q74,0)</f>
        <v>0</v>
      </c>
      <c r="U74" s="182">
        <f>+IF(S74+[1]SADC!S74-[1]SADC!T74-T74&gt;0,S74+[1]SADC!S74-[1]SADC!T74-T74,0)</f>
        <v>0</v>
      </c>
      <c r="V74" s="182">
        <f>+IF(T74+[1]SADC!T74-[1]SADC!S74-S74&gt;0,T74+[1]SADC!T74-[1]SADC!S74-S74,0)</f>
        <v>0</v>
      </c>
      <c r="W74" s="182">
        <f>+IF(U74+[1]SADC!U74-[1]SADC!V74-V74&gt;0,U74+[1]SADC!U74-[1]SADC!V74-V74,0)</f>
        <v>0</v>
      </c>
      <c r="X74" s="182">
        <f>+IF(V74+[1]SADC!V74-[1]SADC!U74-U74&gt;0,V74+[1]SADC!V74-[1]SADC!U74-U74,0)</f>
        <v>0</v>
      </c>
      <c r="Y74" s="182">
        <f>+IF(W74+[1]SADC!W74-[1]SADC!X74-X74&gt;0,W74+[1]SADC!W74-[1]SADC!X74-X74,0)</f>
        <v>0</v>
      </c>
      <c r="Z74" s="182">
        <f>+IF(X74+[1]SADC!X74-[1]SADC!W74-W74&gt;0,X74+[1]SADC!X74-[1]SADC!W74-W74,0)</f>
        <v>0</v>
      </c>
      <c r="AA74" s="182">
        <f>+IF(Y74+[1]SADC!Y74-[1]SADC!Z74-Z74&gt;0,Y74+[1]SADC!Y74-[1]SADC!Z74-Z74,0)</f>
        <v>0</v>
      </c>
      <c r="AB74" s="182">
        <f>+IF(Z74+[1]SADC!Z74-[1]SADC!Y74-Y74&gt;0,Z74+[1]SADC!Z74-[1]SADC!Y74-Y74,0)</f>
        <v>0</v>
      </c>
      <c r="AC74" s="181"/>
      <c r="AD74" s="182">
        <f t="shared" si="0"/>
        <v>0</v>
      </c>
      <c r="AE74" s="182">
        <f t="shared" si="0"/>
        <v>0</v>
      </c>
      <c r="AF74" s="181"/>
    </row>
    <row r="75" spans="1:32">
      <c r="A75" s="181" t="str">
        <f>+VLOOKUP(B75,'[1]coa-mgb'!A$1:B$65536,2,0)</f>
        <v>Trust Liabilities</v>
      </c>
      <c r="B75" s="184" t="s">
        <v>95</v>
      </c>
      <c r="C75" s="182">
        <f>+SUMIFS('[1]20401010 00'!$F$1:$F$65536,'[1]20401010 00'!$D$1:$D$65536,"Beginning Balance",'[1]20401010 00'!$D$1:$D$65536,"Beginning Balance")</f>
        <v>0</v>
      </c>
      <c r="D75" s="182">
        <f>+SUMIFS('[1]20401010 00'!$H$1:$H$65536,'[1]20401010 00'!$D$1:$D$65536,"Beginning Balance",'[1]20401010 00'!$D$1:$D$65536,"Beginning Balance")</f>
        <v>0</v>
      </c>
      <c r="E75" s="182">
        <f>+IF(C75+[1]SADC!C75-[1]SADC!D75-D75&gt;0,C75+[1]SADC!C75-[1]SADC!D75-D75,0)</f>
        <v>0</v>
      </c>
      <c r="F75" s="182">
        <f>+IF(D75+[1]SADC!D75-[1]SADC!C75-C75&gt;0,D75+[1]SADC!D75-[1]SADC!C75-C75,0)</f>
        <v>0</v>
      </c>
      <c r="G75" s="182">
        <f>+IF(E75+[1]SADC!E75-[1]SADC!F75-F75&gt;0,E75+[1]SADC!E75-[1]SADC!F75-F75,0)</f>
        <v>0</v>
      </c>
      <c r="H75" s="182">
        <f>+IF(F75+[1]SADC!F75-[1]SADC!E75-E75&gt;0,F75+[1]SADC!F75-[1]SADC!E75-E75,0)</f>
        <v>0</v>
      </c>
      <c r="I75" s="182">
        <f>+IF(G75+[1]SADC!G75-[1]SADC!H75-H75&gt;0,G75+[1]SADC!G75-[1]SADC!H75-H75,0)</f>
        <v>0</v>
      </c>
      <c r="J75" s="182">
        <f>+IF(H75+[1]SADC!H75-[1]SADC!G75-G75&gt;0,H75+[1]SADC!H75-[1]SADC!G75-G75,0)</f>
        <v>0</v>
      </c>
      <c r="K75" s="182">
        <f>+IF(I75+[1]SADC!I75-[1]SADC!J75-J75&gt;0,I75+[1]SADC!I75-[1]SADC!J75-J75,0)</f>
        <v>0</v>
      </c>
      <c r="L75" s="182">
        <f>+IF(J75+[1]SADC!J75-[1]SADC!I75-I75&gt;0,J75+[1]SADC!J75-[1]SADC!I75-I75,0)</f>
        <v>0</v>
      </c>
      <c r="M75" s="182">
        <f>+IF(K75+[1]SADC!K75-[1]SADC!L75-L75&gt;0,K75+[1]SADC!K75-[1]SADC!L75-L75,0)</f>
        <v>0</v>
      </c>
      <c r="N75" s="182">
        <f>+IF(L75+[1]SADC!L75-[1]SADC!K75-K75&gt;0,L75+[1]SADC!L75-[1]SADC!K75-K75,0)</f>
        <v>0</v>
      </c>
      <c r="O75" s="182">
        <f>+IF(M75+[1]SADC!M75-[1]SADC!N75-N75&gt;0,M75+[1]SADC!M75-[1]SADC!N75-N75,0)</f>
        <v>0</v>
      </c>
      <c r="P75" s="182">
        <f>+IF(N75+[1]SADC!N75-[1]SADC!M75-M75&gt;0,N75+[1]SADC!N75-[1]SADC!M75-M75,0)</f>
        <v>0</v>
      </c>
      <c r="Q75" s="182">
        <f>+IF(O75+[1]SADC!O75-[1]SADC!P75-P75&gt;0,O75+[1]SADC!O75-[1]SADC!P75-P75,0)</f>
        <v>0</v>
      </c>
      <c r="R75" s="182">
        <f>+IF(P75+[1]SADC!P75-[1]SADC!O75-O75&gt;0,P75+[1]SADC!P75-[1]SADC!O75-O75,0)</f>
        <v>0</v>
      </c>
      <c r="S75" s="182">
        <f>+IF(Q75+[1]SADC!Q75-[1]SADC!R75-R75&gt;0,Q75+[1]SADC!Q75-[1]SADC!R75-R75,0)</f>
        <v>0</v>
      </c>
      <c r="T75" s="182">
        <f>+IF(R75+[1]SADC!R75-[1]SADC!Q75-Q75&gt;0,R75+[1]SADC!R75-[1]SADC!Q75-Q75,0)</f>
        <v>0</v>
      </c>
      <c r="U75" s="182">
        <f>+IF(S75+[1]SADC!S75-[1]SADC!T75-T75&gt;0,S75+[1]SADC!S75-[1]SADC!T75-T75,0)</f>
        <v>0</v>
      </c>
      <c r="V75" s="182">
        <f>+IF(T75+[1]SADC!T75-[1]SADC!S75-S75&gt;0,T75+[1]SADC!T75-[1]SADC!S75-S75,0)</f>
        <v>0</v>
      </c>
      <c r="W75" s="182">
        <f>+IF(U75+[1]SADC!U75-[1]SADC!V75-V75&gt;0,U75+[1]SADC!U75-[1]SADC!V75-V75,0)</f>
        <v>0</v>
      </c>
      <c r="X75" s="182">
        <f>+IF(V75+[1]SADC!V75-[1]SADC!U75-U75&gt;0,V75+[1]SADC!V75-[1]SADC!U75-U75,0)</f>
        <v>0</v>
      </c>
      <c r="Y75" s="182">
        <f>+IF(W75+[1]SADC!W75-[1]SADC!X75-X75&gt;0,W75+[1]SADC!W75-[1]SADC!X75-X75,0)</f>
        <v>0</v>
      </c>
      <c r="Z75" s="182">
        <f>+IF(X75+[1]SADC!X75-[1]SADC!W75-W75&gt;0,X75+[1]SADC!X75-[1]SADC!W75-W75,0)</f>
        <v>0</v>
      </c>
      <c r="AA75" s="182">
        <f>+IF(Y75+[1]SADC!Y75-[1]SADC!Z75-Z75&gt;0,Y75+[1]SADC!Y75-[1]SADC!Z75-Z75,0)</f>
        <v>0</v>
      </c>
      <c r="AB75" s="182">
        <f>+IF(Z75+[1]SADC!Z75-[1]SADC!Y75-Y75&gt;0,Z75+[1]SADC!Z75-[1]SADC!Y75-Y75,0)</f>
        <v>0</v>
      </c>
      <c r="AC75" s="181"/>
      <c r="AD75" s="182">
        <f t="shared" si="0"/>
        <v>0</v>
      </c>
      <c r="AE75" s="182">
        <f t="shared" si="0"/>
        <v>0</v>
      </c>
      <c r="AF75" s="181"/>
    </row>
    <row r="76" spans="1:32">
      <c r="A76" s="181" t="str">
        <f>+VLOOKUP(B76,'[1]coa-mgb'!A$1:B$65536,2,0)</f>
        <v>Guaranty/Security Deposits Payable</v>
      </c>
      <c r="B76" s="184" t="s">
        <v>96</v>
      </c>
      <c r="C76" s="182">
        <f>+SUMIFS('[1]20401040 00'!$F$1:$F$65536,'[1]20401040 00'!$D$1:$D$65536,"Beginning Balance",'[1]20401040 00'!$D$1:$D$65536,"Beginning Balance")</f>
        <v>0</v>
      </c>
      <c r="D76" s="182">
        <f>+SUMIFS('[1]20401040 00'!$H$1:$H$65536,'[1]20401040 00'!$D$1:$D$65536,"Beginning Balance",'[1]20401040 00'!$D$1:$D$65536,"Beginning Balance")</f>
        <v>65771.63</v>
      </c>
      <c r="E76" s="182">
        <f>+IF(C76+[1]SADC!C76-[1]SADC!D76-D76&gt;0,C76+[1]SADC!C76-[1]SADC!D76-D76,0)</f>
        <v>0</v>
      </c>
      <c r="F76" s="182">
        <f>+IF(D76+[1]SADC!D76-[1]SADC!C76-C76&gt;0,D76+[1]SADC!D76-[1]SADC!C76-C76,0)</f>
        <v>65771.63</v>
      </c>
      <c r="G76" s="182">
        <f>+IF(E76+[1]SADC!E76-[1]SADC!F76-F76&gt;0,E76+[1]SADC!E76-[1]SADC!F76-F76,0)</f>
        <v>0</v>
      </c>
      <c r="H76" s="182">
        <f>+IF(F76+[1]SADC!F76-[1]SADC!E76-E76&gt;0,F76+[1]SADC!F76-[1]SADC!E76-E76,0)</f>
        <v>65771.63</v>
      </c>
      <c r="I76" s="182">
        <f>+IF(G76+[1]SADC!G76-[1]SADC!H76-H76&gt;0,G76+[1]SADC!G76-[1]SADC!H76-H76,0)</f>
        <v>0</v>
      </c>
      <c r="J76" s="182">
        <f>+IF(H76+[1]SADC!H76-[1]SADC!G76-G76&gt;0,H76+[1]SADC!H76-[1]SADC!G76-G76,0)</f>
        <v>65771.63</v>
      </c>
      <c r="K76" s="182">
        <f>+IF(I76+[1]SADC!I76-[1]SADC!J76-J76&gt;0,I76+[1]SADC!I76-[1]SADC!J76-J76,0)</f>
        <v>0</v>
      </c>
      <c r="L76" s="182">
        <f>+IF(J76+[1]SADC!J76-[1]SADC!I76-I76&gt;0,J76+[1]SADC!J76-[1]SADC!I76-I76,0)</f>
        <v>65771.63</v>
      </c>
      <c r="M76" s="182">
        <f>+IF(K76+[1]SADC!K76-[1]SADC!L76-L76&gt;0,K76+[1]SADC!K76-[1]SADC!L76-L76,0)</f>
        <v>0</v>
      </c>
      <c r="N76" s="182">
        <f>+IF(L76+[1]SADC!L76-[1]SADC!K76-K76&gt;0,L76+[1]SADC!L76-[1]SADC!K76-K76,0)</f>
        <v>65771.63</v>
      </c>
      <c r="O76" s="182">
        <f>+IF(M76+[1]SADC!M76-[1]SADC!N76-N76&gt;0,M76+[1]SADC!M76-[1]SADC!N76-N76,0)</f>
        <v>0</v>
      </c>
      <c r="P76" s="182">
        <f>+IF(N76+[1]SADC!N76-[1]SADC!M76-M76&gt;0,N76+[1]SADC!N76-[1]SADC!M76-M76,0)</f>
        <v>65771.63</v>
      </c>
      <c r="Q76" s="182">
        <f>+IF(O76+[1]SADC!O76-[1]SADC!P76-P76&gt;0,O76+[1]SADC!O76-[1]SADC!P76-P76,0)</f>
        <v>0</v>
      </c>
      <c r="R76" s="182">
        <f>+IF(P76+[1]SADC!P76-[1]SADC!O76-O76&gt;0,P76+[1]SADC!P76-[1]SADC!O76-O76,0)</f>
        <v>65771.63</v>
      </c>
      <c r="S76" s="182">
        <f>+IF(Q76+[1]SADC!Q76-[1]SADC!R76-R76&gt;0,Q76+[1]SADC!Q76-[1]SADC!R76-R76,0)</f>
        <v>0</v>
      </c>
      <c r="T76" s="182">
        <f>+IF(R76+[1]SADC!R76-[1]SADC!Q76-Q76&gt;0,R76+[1]SADC!R76-[1]SADC!Q76-Q76,0)</f>
        <v>65771.63</v>
      </c>
      <c r="U76" s="182">
        <f>+IF(S76+[1]SADC!S76-[1]SADC!T76-T76&gt;0,S76+[1]SADC!S76-[1]SADC!T76-T76,0)</f>
        <v>0</v>
      </c>
      <c r="V76" s="182">
        <f>+IF(T76+[1]SADC!T76-[1]SADC!S76-S76&gt;0,T76+[1]SADC!T76-[1]SADC!S76-S76,0)</f>
        <v>65771.63</v>
      </c>
      <c r="W76" s="182">
        <f>+IF(U76+[1]SADC!U76-[1]SADC!V76-V76&gt;0,U76+[1]SADC!U76-[1]SADC!V76-V76,0)</f>
        <v>0</v>
      </c>
      <c r="X76" s="182">
        <f>+IF(V76+[1]SADC!V76-[1]SADC!U76-U76&gt;0,V76+[1]SADC!V76-[1]SADC!U76-U76,0)</f>
        <v>65771.63</v>
      </c>
      <c r="Y76" s="182">
        <f>+IF(W76+[1]SADC!W76-[1]SADC!X76-X76&gt;0,W76+[1]SADC!W76-[1]SADC!X76-X76,0)</f>
        <v>0</v>
      </c>
      <c r="Z76" s="182">
        <f>+IF(X76+[1]SADC!X76-[1]SADC!W76-W76&gt;0,X76+[1]SADC!X76-[1]SADC!W76-W76,0)</f>
        <v>65771.63</v>
      </c>
      <c r="AA76" s="182">
        <f>+IF(Y76+[1]SADC!Y76-[1]SADC!Z76-Z76&gt;0,Y76+[1]SADC!Y76-[1]SADC!Z76-Z76,0)</f>
        <v>0</v>
      </c>
      <c r="AB76" s="182">
        <f>+IF(Z76+[1]SADC!Z76-[1]SADC!Y76-Y76&gt;0,Z76+[1]SADC!Z76-[1]SADC!Y76-Y76,0)</f>
        <v>65771.63</v>
      </c>
      <c r="AC76" s="181"/>
      <c r="AD76" s="182">
        <f t="shared" si="0"/>
        <v>0</v>
      </c>
      <c r="AE76" s="182">
        <f t="shared" si="0"/>
        <v>65771.63</v>
      </c>
      <c r="AF76" s="181"/>
    </row>
    <row r="77" spans="1:32">
      <c r="A77" s="181" t="str">
        <f>+VLOOKUP(B77,'[1]coa-mgb'!A$1:B$65536,2,0)</f>
        <v>Other Payables</v>
      </c>
      <c r="B77" s="184" t="s">
        <v>97</v>
      </c>
      <c r="C77" s="182">
        <f>+SUMIFS('[1]29999990 00'!$F$1:$F$65536,'[1]29999990 00'!$D$1:$D$65536,"Beginning Balance",'[1]29999990 00'!$D$1:$D$65536,"Beginning Balance")</f>
        <v>0</v>
      </c>
      <c r="D77" s="182">
        <f>+SUMIFS('[1]29999990 00'!$H$1:$H$65536,'[1]29999990 00'!$D$1:$D$65536,"Beginning Balance",'[1]29999990 00'!$D$1:$D$65536,"Beginning Balance")</f>
        <v>275</v>
      </c>
      <c r="E77" s="182">
        <f>+IF(C77+[1]SADC!C77-[1]SADC!D77-D77&gt;0,C77+[1]SADC!C77-[1]SADC!D77-D77,0)</f>
        <v>0</v>
      </c>
      <c r="F77" s="182">
        <f>+IF(D77+[1]SADC!D77-[1]SADC!C77-C77&gt;0,D77+[1]SADC!D77-[1]SADC!C77-C77,0)</f>
        <v>53527.299999999988</v>
      </c>
      <c r="G77" s="182">
        <f>+IF(E77+[1]SADC!E77-[1]SADC!F77-F77&gt;0,E77+[1]SADC!E77-[1]SADC!F77-F77,0)</f>
        <v>0</v>
      </c>
      <c r="H77" s="182">
        <f>+IF(F77+[1]SADC!F77-[1]SADC!E77-E77&gt;0,F77+[1]SADC!F77-[1]SADC!E77-E77,0)</f>
        <v>275</v>
      </c>
      <c r="I77" s="182">
        <f>+IF(G77+[1]SADC!G77-[1]SADC!H77-H77&gt;0,G77+[1]SADC!G77-[1]SADC!H77-H77,0)</f>
        <v>0</v>
      </c>
      <c r="J77" s="182">
        <f>+IF(H77+[1]SADC!H77-[1]SADC!G77-G77&gt;0,H77+[1]SADC!H77-[1]SADC!G77-G77,0)</f>
        <v>274.99999999998545</v>
      </c>
      <c r="K77" s="182">
        <f>+IF(I77+[1]SADC!I77-[1]SADC!J77-J77&gt;0,I77+[1]SADC!I77-[1]SADC!J77-J77,0)</f>
        <v>0</v>
      </c>
      <c r="L77" s="182">
        <f>+IF(J77+[1]SADC!J77-[1]SADC!I77-I77&gt;0,J77+[1]SADC!J77-[1]SADC!I77-I77,0)</f>
        <v>274.99999999998545</v>
      </c>
      <c r="M77" s="182">
        <f>+IF(K77+[1]SADC!K77-[1]SADC!L77-L77&gt;0,K77+[1]SADC!K77-[1]SADC!L77-L77,0)</f>
        <v>0</v>
      </c>
      <c r="N77" s="182">
        <f>+IF(L77+[1]SADC!L77-[1]SADC!K77-K77&gt;0,L77+[1]SADC!L77-[1]SADC!K77-K77,0)</f>
        <v>274.99999999998545</v>
      </c>
      <c r="O77" s="182">
        <f>+IF(M77+[1]SADC!M77-[1]SADC!N77-N77&gt;0,M77+[1]SADC!M77-[1]SADC!N77-N77,0)</f>
        <v>0</v>
      </c>
      <c r="P77" s="182">
        <f>+IF(N77+[1]SADC!N77-[1]SADC!M77-M77&gt;0,N77+[1]SADC!N77-[1]SADC!M77-M77,0)</f>
        <v>274.99999999998545</v>
      </c>
      <c r="Q77" s="182">
        <f>+IF(O77+[1]SADC!O77-[1]SADC!P77-P77&gt;0,O77+[1]SADC!O77-[1]SADC!P77-P77,0)</f>
        <v>0</v>
      </c>
      <c r="R77" s="182">
        <f>+IF(P77+[1]SADC!P77-[1]SADC!O77-O77&gt;0,P77+[1]SADC!P77-[1]SADC!O77-O77,0)</f>
        <v>274.99999999998545</v>
      </c>
      <c r="S77" s="182">
        <f>+IF(Q77+[1]SADC!Q77-[1]SADC!R77-R77&gt;0,Q77+[1]SADC!Q77-[1]SADC!R77-R77,0)</f>
        <v>0</v>
      </c>
      <c r="T77" s="182">
        <f>+IF(R77+[1]SADC!R77-[1]SADC!Q77-Q77&gt;0,R77+[1]SADC!R77-[1]SADC!Q77-Q77,0)</f>
        <v>274.99999999998545</v>
      </c>
      <c r="U77" s="182">
        <f>+IF(S77+[1]SADC!S77-[1]SADC!T77-T77&gt;0,S77+[1]SADC!S77-[1]SADC!T77-T77,0)</f>
        <v>0</v>
      </c>
      <c r="V77" s="182">
        <f>+IF(T77+[1]SADC!T77-[1]SADC!S77-S77&gt;0,T77+[1]SADC!T77-[1]SADC!S77-S77,0)</f>
        <v>274.99999999998545</v>
      </c>
      <c r="W77" s="182">
        <f>+IF(U77+[1]SADC!U77-[1]SADC!V77-V77&gt;0,U77+[1]SADC!U77-[1]SADC!V77-V77,0)</f>
        <v>0</v>
      </c>
      <c r="X77" s="182">
        <f>+IF(V77+[1]SADC!V77-[1]SADC!U77-U77&gt;0,V77+[1]SADC!V77-[1]SADC!U77-U77,0)</f>
        <v>274.99999999998545</v>
      </c>
      <c r="Y77" s="182">
        <f>+IF(W77+[1]SADC!W77-[1]SADC!X77-X77&gt;0,W77+[1]SADC!W77-[1]SADC!X77-X77,0)</f>
        <v>0</v>
      </c>
      <c r="Z77" s="182">
        <f>+IF(X77+[1]SADC!X77-[1]SADC!W77-W77&gt;0,X77+[1]SADC!X77-[1]SADC!W77-W77,0)</f>
        <v>274.99999999998545</v>
      </c>
      <c r="AA77" s="182">
        <f>+IF(Y77+[1]SADC!Y77-[1]SADC!Z77-Z77&gt;0,Y77+[1]SADC!Y77-[1]SADC!Z77-Z77,0)</f>
        <v>0</v>
      </c>
      <c r="AB77" s="182">
        <f>+IF(Z77+[1]SADC!Z77-[1]SADC!Y77-Y77&gt;0,Z77+[1]SADC!Z77-[1]SADC!Y77-Y77,0)</f>
        <v>274.99999999998545</v>
      </c>
      <c r="AC77" s="181"/>
      <c r="AD77" s="182">
        <f t="shared" si="0"/>
        <v>0</v>
      </c>
      <c r="AE77" s="182">
        <f t="shared" si="0"/>
        <v>274.99999999998545</v>
      </c>
      <c r="AF77" s="181"/>
    </row>
    <row r="78" spans="1:32">
      <c r="A78" s="181" t="str">
        <f>+VLOOKUP(B78,'[1]coa-mgb'!A$1:B$65536,2,0)</f>
        <v>Accumulated Surplus/Deficit</v>
      </c>
      <c r="B78" s="184" t="s">
        <v>98</v>
      </c>
      <c r="C78" s="182">
        <f>+SUMIFS('[1]30101010 00'!$F$1:$F$65536,'[1]30101010 00'!$D$1:$D$65536,"Beginning Balance",'[1]30101010 00'!$D$1:$D$65536,"Beginning Balance")</f>
        <v>0</v>
      </c>
      <c r="D78" s="182">
        <f>+SUMIFS('[1]30101010 00'!$H$1:$H$65536,'[1]30101010 00'!$D$1:$D$65536,"Beginning Balance",'[1]30101010 00'!$D$1:$D$65536,"Beginning Balance")</f>
        <v>28892448.899999999</v>
      </c>
      <c r="E78" s="182">
        <f>+IF(C78+[1]SADC!C78-[1]SADC!D78-D78&gt;0,C78+[1]SADC!C78-[1]SADC!D78-D78,0)</f>
        <v>0</v>
      </c>
      <c r="F78" s="182">
        <f>+IF(D78+[1]SADC!D78-[1]SADC!C78-C78&gt;0,D78+[1]SADC!D78-[1]SADC!C78-C78,0)</f>
        <v>29148759.349999998</v>
      </c>
      <c r="G78" s="182">
        <f>+IF(E78+[1]SADC!E78-[1]SADC!F78-F78&gt;0,E78+[1]SADC!E78-[1]SADC!F78-F78,0)</f>
        <v>0</v>
      </c>
      <c r="H78" s="182">
        <f>+IF(F78+[1]SADC!F78-[1]SADC!E78-E78&gt;0,F78+[1]SADC!F78-[1]SADC!E78-E78,0)</f>
        <v>29159126.679999996</v>
      </c>
      <c r="I78" s="182">
        <f>+IF(G78+[1]SADC!G78-[1]SADC!H78-H78&gt;0,G78+[1]SADC!G78-[1]SADC!H78-H78,0)</f>
        <v>0</v>
      </c>
      <c r="J78" s="182">
        <f>+IF(H78+[1]SADC!H78-[1]SADC!G78-G78&gt;0,H78+[1]SADC!H78-[1]SADC!G78-G78,0)</f>
        <v>29190438.419999998</v>
      </c>
      <c r="K78" s="182">
        <f>+IF(I78+[1]SADC!I78-[1]SADC!J78-J78&gt;0,I78+[1]SADC!I78-[1]SADC!J78-J78,0)</f>
        <v>0</v>
      </c>
      <c r="L78" s="182">
        <f>+IF(J78+[1]SADC!J78-[1]SADC!I78-I78&gt;0,J78+[1]SADC!J78-[1]SADC!I78-I78,0)</f>
        <v>29190438.419999998</v>
      </c>
      <c r="M78" s="182">
        <f>+IF(K78+[1]SADC!K78-[1]SADC!L78-L78&gt;0,K78+[1]SADC!K78-[1]SADC!L78-L78,0)</f>
        <v>0</v>
      </c>
      <c r="N78" s="182">
        <f>+IF(L78+[1]SADC!L78-[1]SADC!K78-K78&gt;0,L78+[1]SADC!L78-[1]SADC!K78-K78,0)</f>
        <v>29190438.419999998</v>
      </c>
      <c r="O78" s="182">
        <f>+IF(M78+[1]SADC!M78-[1]SADC!N78-N78&gt;0,M78+[1]SADC!M78-[1]SADC!N78-N78,0)</f>
        <v>0</v>
      </c>
      <c r="P78" s="182">
        <f>+IF(N78+[1]SADC!N78-[1]SADC!M78-M78&gt;0,N78+[1]SADC!N78-[1]SADC!M78-M78,0)</f>
        <v>29190438.419999998</v>
      </c>
      <c r="Q78" s="182">
        <f>+IF(O78+[1]SADC!O78-[1]SADC!P78-P78&gt;0,O78+[1]SADC!O78-[1]SADC!P78-P78,0)</f>
        <v>0</v>
      </c>
      <c r="R78" s="182">
        <f>+IF(P78+[1]SADC!P78-[1]SADC!O78-O78&gt;0,P78+[1]SADC!P78-[1]SADC!O78-O78,0)</f>
        <v>29190438.419999998</v>
      </c>
      <c r="S78" s="182">
        <f>+IF(Q78+[1]SADC!Q78-[1]SADC!R78-R78&gt;0,Q78+[1]SADC!Q78-[1]SADC!R78-R78,0)</f>
        <v>0</v>
      </c>
      <c r="T78" s="182">
        <f>+IF(R78+[1]SADC!R78-[1]SADC!Q78-Q78&gt;0,R78+[1]SADC!R78-[1]SADC!Q78-Q78,0)</f>
        <v>29190438.419999998</v>
      </c>
      <c r="U78" s="182">
        <f>+IF(S78+[1]SADC!S78-[1]SADC!T78-T78&gt;0,S78+[1]SADC!S78-[1]SADC!T78-T78,0)</f>
        <v>0</v>
      </c>
      <c r="V78" s="182">
        <f>+IF(T78+[1]SADC!T78-[1]SADC!S78-S78&gt;0,T78+[1]SADC!T78-[1]SADC!S78-S78,0)</f>
        <v>29190438.419999998</v>
      </c>
      <c r="W78" s="182">
        <f>+IF(U78+[1]SADC!U78-[1]SADC!V78-V78&gt;0,U78+[1]SADC!U78-[1]SADC!V78-V78,0)</f>
        <v>0</v>
      </c>
      <c r="X78" s="182">
        <f>+IF(V78+[1]SADC!V78-[1]SADC!U78-U78&gt;0,V78+[1]SADC!V78-[1]SADC!U78-U78,0)</f>
        <v>29190438.419999998</v>
      </c>
      <c r="Y78" s="182">
        <f>+IF(W78+[1]SADC!W78-[1]SADC!X78-X78&gt;0,W78+[1]SADC!W78-[1]SADC!X78-X78,0)</f>
        <v>0</v>
      </c>
      <c r="Z78" s="182">
        <f>+IF(X78+[1]SADC!X78-[1]SADC!W78-W78&gt;0,X78+[1]SADC!X78-[1]SADC!W78-W78,0)</f>
        <v>29190438.419999998</v>
      </c>
      <c r="AA78" s="182">
        <f>+IF(Y78+[1]SADC!Y78-[1]SADC!Z78-Z78&gt;0,Y78+[1]SADC!Y78-[1]SADC!Z78-Z78,0)</f>
        <v>0</v>
      </c>
      <c r="AB78" s="182">
        <f>+IF(Z78+[1]SADC!Z78-[1]SADC!Y78-Y78&gt;0,Z78+[1]SADC!Z78-[1]SADC!Y78-Y78,0)</f>
        <v>29190438.419999998</v>
      </c>
      <c r="AC78" s="181"/>
      <c r="AD78" s="182">
        <f t="shared" ref="AD78:AE141" si="1">+AA78</f>
        <v>0</v>
      </c>
      <c r="AE78" s="182">
        <f t="shared" si="1"/>
        <v>29190438.419999998</v>
      </c>
      <c r="AF78" s="181"/>
    </row>
    <row r="79" spans="1:32">
      <c r="A79" s="181" t="str">
        <f>+VLOOKUP(B79,'[1]coa-mgb'!A$1:B$65536,2,0)</f>
        <v>Permit Fees</v>
      </c>
      <c r="B79" s="184" t="s">
        <v>100</v>
      </c>
      <c r="C79" s="182">
        <f>+SUMIFS('[1]40201010 00'!$F$1:$F$65536,'[1]40201010 00'!$D$1:$D$65536,"Beginning Balance",'[1]40201010 00'!$D$1:$D$65536,"Beginning Balance")</f>
        <v>0</v>
      </c>
      <c r="D79" s="182">
        <f>+SUMIFS('[1]40201010 00'!$H$1:$H$65536,'[1]40201010 00'!$D$1:$D$65536,"Beginning Balance",'[1]40201010 00'!$D$1:$D$65536,"Beginning Balance")</f>
        <v>0</v>
      </c>
      <c r="E79" s="182">
        <f>+IF(C79+[1]SADC!C79-[1]SADC!D79-D79&gt;0,C79+[1]SADC!C79-[1]SADC!D79-D79,0)</f>
        <v>0</v>
      </c>
      <c r="F79" s="182">
        <f>+IF(D79+[1]SADC!D79-[1]SADC!C79-C79&gt;0,D79+[1]SADC!D79-[1]SADC!C79-C79,0)</f>
        <v>126570</v>
      </c>
      <c r="G79" s="182">
        <f>+IF(E79+[1]SADC!E79-[1]SADC!F79-F79&gt;0,E79+[1]SADC!E79-[1]SADC!F79-F79,0)</f>
        <v>0</v>
      </c>
      <c r="H79" s="182">
        <f>+IF(F79+[1]SADC!F79-[1]SADC!E79-E79&gt;0,F79+[1]SADC!F79-[1]SADC!E79-E79,0)</f>
        <v>235390</v>
      </c>
      <c r="I79" s="182">
        <f>+IF(G79+[1]SADC!G79-[1]SADC!H79-H79&gt;0,G79+[1]SADC!G79-[1]SADC!H79-H79,0)</f>
        <v>0</v>
      </c>
      <c r="J79" s="182">
        <f>+IF(H79+[1]SADC!H79-[1]SADC!G79-G79&gt;0,H79+[1]SADC!H79-[1]SADC!G79-G79,0)</f>
        <v>370240</v>
      </c>
      <c r="K79" s="182">
        <f>+IF(I79+[1]SADC!I79-[1]SADC!J79-J79&gt;0,I79+[1]SADC!I79-[1]SADC!J79-J79,0)</f>
        <v>0</v>
      </c>
      <c r="L79" s="182">
        <f>+IF(J79+[1]SADC!J79-[1]SADC!I79-I79&gt;0,J79+[1]SADC!J79-[1]SADC!I79-I79,0)</f>
        <v>370240</v>
      </c>
      <c r="M79" s="182">
        <f>+IF(K79+[1]SADC!K79-[1]SADC!L79-L79&gt;0,K79+[1]SADC!K79-[1]SADC!L79-L79,0)</f>
        <v>0</v>
      </c>
      <c r="N79" s="182">
        <f>+IF(L79+[1]SADC!L79-[1]SADC!K79-K79&gt;0,L79+[1]SADC!L79-[1]SADC!K79-K79,0)</f>
        <v>370240</v>
      </c>
      <c r="O79" s="182">
        <f>+IF(M79+[1]SADC!M79-[1]SADC!N79-N79&gt;0,M79+[1]SADC!M79-[1]SADC!N79-N79,0)</f>
        <v>0</v>
      </c>
      <c r="P79" s="182">
        <f>+IF(N79+[1]SADC!N79-[1]SADC!M79-M79&gt;0,N79+[1]SADC!N79-[1]SADC!M79-M79,0)</f>
        <v>370240</v>
      </c>
      <c r="Q79" s="182">
        <f>+IF(O79+[1]SADC!O79-[1]SADC!P79-P79&gt;0,O79+[1]SADC!O79-[1]SADC!P79-P79,0)</f>
        <v>0</v>
      </c>
      <c r="R79" s="182">
        <f>+IF(P79+[1]SADC!P79-[1]SADC!O79-O79&gt;0,P79+[1]SADC!P79-[1]SADC!O79-O79,0)</f>
        <v>370240</v>
      </c>
      <c r="S79" s="182">
        <f>+IF(Q79+[1]SADC!Q79-[1]SADC!R79-R79&gt;0,Q79+[1]SADC!Q79-[1]SADC!R79-R79,0)</f>
        <v>0</v>
      </c>
      <c r="T79" s="182">
        <f>+IF(R79+[1]SADC!R79-[1]SADC!Q79-Q79&gt;0,R79+[1]SADC!R79-[1]SADC!Q79-Q79,0)</f>
        <v>370240</v>
      </c>
      <c r="U79" s="182">
        <f>+IF(S79+[1]SADC!S79-[1]SADC!T79-T79&gt;0,S79+[1]SADC!S79-[1]SADC!T79-T79,0)</f>
        <v>0</v>
      </c>
      <c r="V79" s="182">
        <f>+IF(T79+[1]SADC!T79-[1]SADC!S79-S79&gt;0,T79+[1]SADC!T79-[1]SADC!S79-S79,0)</f>
        <v>370240</v>
      </c>
      <c r="W79" s="182">
        <f>+IF(U79+[1]SADC!U79-[1]SADC!V79-V79&gt;0,U79+[1]SADC!U79-[1]SADC!V79-V79,0)</f>
        <v>0</v>
      </c>
      <c r="X79" s="182">
        <f>+IF(V79+[1]SADC!V79-[1]SADC!U79-U79&gt;0,V79+[1]SADC!V79-[1]SADC!U79-U79,0)</f>
        <v>370240</v>
      </c>
      <c r="Y79" s="182">
        <f>+IF(W79+[1]SADC!W79-[1]SADC!X79-X79&gt;0,W79+[1]SADC!W79-[1]SADC!X79-X79,0)</f>
        <v>0</v>
      </c>
      <c r="Z79" s="182">
        <f>+IF(X79+[1]SADC!X79-[1]SADC!W79-W79&gt;0,X79+[1]SADC!X79-[1]SADC!W79-W79,0)</f>
        <v>370240</v>
      </c>
      <c r="AA79" s="182">
        <f>+IF(Y79+[1]SADC!Y79-[1]SADC!Z79-Z79&gt;0,Y79+[1]SADC!Y79-[1]SADC!Z79-Z79,0)</f>
        <v>0</v>
      </c>
      <c r="AB79" s="182">
        <f>+IF(Z79+[1]SADC!Z79-[1]SADC!Y79-Y79&gt;0,Z79+[1]SADC!Z79-[1]SADC!Y79-Y79,0)</f>
        <v>370240</v>
      </c>
      <c r="AC79" s="181"/>
      <c r="AD79" s="182">
        <f t="shared" si="1"/>
        <v>0</v>
      </c>
      <c r="AE79" s="182">
        <f t="shared" si="1"/>
        <v>370240</v>
      </c>
      <c r="AF79" s="181"/>
    </row>
    <row r="80" spans="1:32">
      <c r="A80" s="181" t="s">
        <v>676</v>
      </c>
      <c r="B80" s="184" t="s">
        <v>677</v>
      </c>
      <c r="C80" s="182">
        <f>+SUMIFS('[1]40201070 01'!$F$1:$F$65536,'[1]40201070 01'!$D$1:$D$65536,"Beginning Balance",'[1]40201070 01'!$D$1:$D$65536,"Beginning Balance")</f>
        <v>0</v>
      </c>
      <c r="D80" s="182">
        <f>+SUMIFS('[1]40201070 01'!$H$1:$H$65536,'[1]40201070 01'!$D$1:$D$65536,"Beginning Balance",'[1]40201070 01'!$D$1:$D$65536,"Beginning Balance")</f>
        <v>0</v>
      </c>
      <c r="E80" s="182">
        <f>+IF(C80+[1]SADC!C80-[1]SADC!D80-D80&gt;0,C80+[1]SADC!C80-[1]SADC!D80-D80,0)</f>
        <v>0</v>
      </c>
      <c r="F80" s="182">
        <f>+IF(D80+[1]SADC!D80-[1]SADC!C80-C80&gt;0,D80+[1]SADC!D80-[1]SADC!C80-C80,0)</f>
        <v>266040</v>
      </c>
      <c r="G80" s="182">
        <f>+IF(E80+[1]SADC!E80-[1]SADC!F80-F80&gt;0,E80+[1]SADC!E80-[1]SADC!F80-F80,0)</f>
        <v>0</v>
      </c>
      <c r="H80" s="182">
        <f>+IF(F80+[1]SADC!F80-[1]SADC!E80-E80&gt;0,F80+[1]SADC!F80-[1]SADC!E80-E80,0)</f>
        <v>558590</v>
      </c>
      <c r="I80" s="182">
        <f>+IF(G80+[1]SADC!G80-[1]SADC!H80-H80&gt;0,G80+[1]SADC!G80-[1]SADC!H80-H80,0)</f>
        <v>0</v>
      </c>
      <c r="J80" s="182">
        <f>+IF(H80+[1]SADC!H80-[1]SADC!G80-G80&gt;0,H80+[1]SADC!H80-[1]SADC!G80-G80,0)</f>
        <v>840190</v>
      </c>
      <c r="K80" s="182">
        <f>+IF(I80+[1]SADC!I80-[1]SADC!J80-J80&gt;0,I80+[1]SADC!I80-[1]SADC!J80-J80,0)</f>
        <v>0</v>
      </c>
      <c r="L80" s="182">
        <f>+IF(J80+[1]SADC!J80-[1]SADC!I80-I80&gt;0,J80+[1]SADC!J80-[1]SADC!I80-I80,0)</f>
        <v>840190</v>
      </c>
      <c r="M80" s="182">
        <f>+IF(K80+[1]SADC!K80-[1]SADC!L80-L80&gt;0,K80+[1]SADC!K80-[1]SADC!L80-L80,0)</f>
        <v>0</v>
      </c>
      <c r="N80" s="182">
        <f>+IF(L80+[1]SADC!L80-[1]SADC!K80-K80&gt;0,L80+[1]SADC!L80-[1]SADC!K80-K80,0)</f>
        <v>840190</v>
      </c>
      <c r="O80" s="182">
        <f>+IF(M80+[1]SADC!M80-[1]SADC!N80-N80&gt;0,M80+[1]SADC!M80-[1]SADC!N80-N80,0)</f>
        <v>0</v>
      </c>
      <c r="P80" s="182">
        <f>+IF(N80+[1]SADC!N80-[1]SADC!M80-M80&gt;0,N80+[1]SADC!N80-[1]SADC!M80-M80,0)</f>
        <v>840190</v>
      </c>
      <c r="Q80" s="182">
        <f>+IF(O80+[1]SADC!O80-[1]SADC!P80-P80&gt;0,O80+[1]SADC!O80-[1]SADC!P80-P80,0)</f>
        <v>0</v>
      </c>
      <c r="R80" s="182">
        <f>+IF(P80+[1]SADC!P80-[1]SADC!O80-O80&gt;0,P80+[1]SADC!P80-[1]SADC!O80-O80,0)</f>
        <v>840190</v>
      </c>
      <c r="S80" s="182">
        <f>+IF(Q80+[1]SADC!Q80-[1]SADC!R80-R80&gt;0,Q80+[1]SADC!Q80-[1]SADC!R80-R80,0)</f>
        <v>0</v>
      </c>
      <c r="T80" s="182">
        <f>+IF(R80+[1]SADC!R80-[1]SADC!Q80-Q80&gt;0,R80+[1]SADC!R80-[1]SADC!Q80-Q80,0)</f>
        <v>840190</v>
      </c>
      <c r="U80" s="182">
        <f>+IF(S80+[1]SADC!S80-[1]SADC!T80-T80&gt;0,S80+[1]SADC!S80-[1]SADC!T80-T80,0)</f>
        <v>0</v>
      </c>
      <c r="V80" s="182">
        <f>+IF(T80+[1]SADC!T80-[1]SADC!S80-S80&gt;0,T80+[1]SADC!T80-[1]SADC!S80-S80,0)</f>
        <v>840190</v>
      </c>
      <c r="W80" s="182">
        <f>+IF(U80+[1]SADC!U80-[1]SADC!V80-V80&gt;0,U80+[1]SADC!U80-[1]SADC!V80-V80,0)</f>
        <v>0</v>
      </c>
      <c r="X80" s="182">
        <f>+IF(V80+[1]SADC!V80-[1]SADC!U80-U80&gt;0,V80+[1]SADC!V80-[1]SADC!U80-U80,0)</f>
        <v>840190</v>
      </c>
      <c r="Y80" s="182">
        <f>+IF(W80+[1]SADC!W80-[1]SADC!X80-X80&gt;0,W80+[1]SADC!W80-[1]SADC!X80-X80,0)</f>
        <v>0</v>
      </c>
      <c r="Z80" s="182">
        <f>+IF(X80+[1]SADC!X80-[1]SADC!W80-W80&gt;0,X80+[1]SADC!X80-[1]SADC!W80-W80,0)</f>
        <v>840190</v>
      </c>
      <c r="AA80" s="182">
        <f>+IF(Y80+[1]SADC!Y80-[1]SADC!Z80-Z80&gt;0,Y80+[1]SADC!Y80-[1]SADC!Z80-Z80,0)</f>
        <v>0</v>
      </c>
      <c r="AB80" s="182">
        <f>+IF(Z80+[1]SADC!Z80-[1]SADC!Y80-Y80&gt;0,Z80+[1]SADC!Z80-[1]SADC!Y80-Y80,0)</f>
        <v>840190</v>
      </c>
      <c r="AC80" s="181"/>
      <c r="AD80" s="182">
        <f t="shared" si="1"/>
        <v>0</v>
      </c>
      <c r="AE80" s="182">
        <f t="shared" si="1"/>
        <v>840190</v>
      </c>
      <c r="AF80" s="181"/>
    </row>
    <row r="81" spans="1:32">
      <c r="A81" s="181" t="str">
        <f>+VLOOKUP(B81,'[1]coa-mgb'!A$1:B$65536,2,0)</f>
        <v>Clearance and Certification Fee</v>
      </c>
      <c r="B81" s="184" t="s">
        <v>102</v>
      </c>
      <c r="C81" s="182">
        <f>+SUMIFS('[1]CLEAR_CERT FEE'!$F$1:$F$65536,'[1]CLEAR_CERT FEE'!$D$1:$D$65536,"Beginning Balance",'[1]CLEAR_CERT FEE'!$D$1:$D$65536,"Beginning Balance")</f>
        <v>0</v>
      </c>
      <c r="D81" s="182">
        <f>+SUMIFS('[1]CLEAR_CERT FEE'!$H$1:$H$65536,'[1]CLEAR_CERT FEE'!$D$1:$D$65536,"Beginning Balance",'[1]CLEAR_CERT FEE'!$D$1:$D$65536,"Beginning Balance")</f>
        <v>0</v>
      </c>
      <c r="E81" s="182">
        <f>+IF(C81+[1]SADC!C81-[1]SADC!D81-D81&gt;0,C81+[1]SADC!C81-[1]SADC!D81-D81,0)</f>
        <v>0</v>
      </c>
      <c r="F81" s="182">
        <f>+IF(D81+[1]SADC!D81-[1]SADC!C81-C81&gt;0,D81+[1]SADC!D81-[1]SADC!C81-C81,0)</f>
        <v>0</v>
      </c>
      <c r="G81" s="182">
        <f>+IF(E81+[1]SADC!E81-[1]SADC!F81-F81&gt;0,E81+[1]SADC!E81-[1]SADC!F81-F81,0)</f>
        <v>0</v>
      </c>
      <c r="H81" s="182">
        <f>+IF(F81+[1]SADC!F81-[1]SADC!E81-E81&gt;0,F81+[1]SADC!F81-[1]SADC!E81-E81,0)</f>
        <v>0</v>
      </c>
      <c r="I81" s="182">
        <f>+IF(G81+[1]SADC!G81-[1]SADC!H81-H81&gt;0,G81+[1]SADC!G81-[1]SADC!H81-H81,0)</f>
        <v>0</v>
      </c>
      <c r="J81" s="182">
        <f>+IF(H81+[1]SADC!H81-[1]SADC!G81-G81&gt;0,H81+[1]SADC!H81-[1]SADC!G81-G81,0)</f>
        <v>0</v>
      </c>
      <c r="K81" s="182">
        <f>+IF(I81+[1]SADC!I81-[1]SADC!J81-J81&gt;0,I81+[1]SADC!I81-[1]SADC!J81-J81,0)</f>
        <v>0</v>
      </c>
      <c r="L81" s="182">
        <f>+IF(J81+[1]SADC!J81-[1]SADC!I81-I81&gt;0,J81+[1]SADC!J81-[1]SADC!I81-I81,0)</f>
        <v>0</v>
      </c>
      <c r="M81" s="182">
        <f>+IF(K81+[1]SADC!K81-[1]SADC!L81-L81&gt;0,K81+[1]SADC!K81-[1]SADC!L81-L81,0)</f>
        <v>0</v>
      </c>
      <c r="N81" s="182">
        <f>+IF(L81+[1]SADC!L81-[1]SADC!K81-K81&gt;0,L81+[1]SADC!L81-[1]SADC!K81-K81,0)</f>
        <v>0</v>
      </c>
      <c r="O81" s="182">
        <f>+IF(M81+[1]SADC!M81-[1]SADC!N81-N81&gt;0,M81+[1]SADC!M81-[1]SADC!N81-N81,0)</f>
        <v>0</v>
      </c>
      <c r="P81" s="182">
        <f>+IF(N81+[1]SADC!N81-[1]SADC!M81-M81&gt;0,N81+[1]SADC!N81-[1]SADC!M81-M81,0)</f>
        <v>0</v>
      </c>
      <c r="Q81" s="182">
        <f>+IF(O81+[1]SADC!O81-[1]SADC!P81-P81&gt;0,O81+[1]SADC!O81-[1]SADC!P81-P81,0)</f>
        <v>0</v>
      </c>
      <c r="R81" s="182">
        <f>+IF(P81+[1]SADC!P81-[1]SADC!O81-O81&gt;0,P81+[1]SADC!P81-[1]SADC!O81-O81,0)</f>
        <v>0</v>
      </c>
      <c r="S81" s="182">
        <f>+IF(Q81+[1]SADC!Q81-[1]SADC!R81-R81&gt;0,Q81+[1]SADC!Q81-[1]SADC!R81-R81,0)</f>
        <v>0</v>
      </c>
      <c r="T81" s="182">
        <f>+IF(R81+[1]SADC!R81-[1]SADC!Q81-Q81&gt;0,R81+[1]SADC!R81-[1]SADC!Q81-Q81,0)</f>
        <v>0</v>
      </c>
      <c r="U81" s="182">
        <f>+IF(S81+[1]SADC!S81-[1]SADC!T81-T81&gt;0,S81+[1]SADC!S81-[1]SADC!T81-T81,0)</f>
        <v>0</v>
      </c>
      <c r="V81" s="182">
        <f>+IF(T81+[1]SADC!T81-[1]SADC!S81-S81&gt;0,T81+[1]SADC!T81-[1]SADC!S81-S81,0)</f>
        <v>0</v>
      </c>
      <c r="W81" s="182">
        <f>+IF(U81+[1]SADC!U81-[1]SADC!V81-V81&gt;0,U81+[1]SADC!U81-[1]SADC!V81-V81,0)</f>
        <v>0</v>
      </c>
      <c r="X81" s="182">
        <f>+IF(V81+[1]SADC!V81-[1]SADC!U81-U81&gt;0,V81+[1]SADC!V81-[1]SADC!U81-U81,0)</f>
        <v>0</v>
      </c>
      <c r="Y81" s="182">
        <f>+IF(W81+[1]SADC!W81-[1]SADC!X81-X81&gt;0,W81+[1]SADC!W81-[1]SADC!X81-X81,0)</f>
        <v>0</v>
      </c>
      <c r="Z81" s="182">
        <f>+IF(X81+[1]SADC!X81-[1]SADC!W81-W81&gt;0,X81+[1]SADC!X81-[1]SADC!W81-W81,0)</f>
        <v>0</v>
      </c>
      <c r="AA81" s="182">
        <f>+IF(Y81+[1]SADC!Y81-[1]SADC!Z81-Z81&gt;0,Y81+[1]SADC!Y81-[1]SADC!Z81-Z81,0)</f>
        <v>0</v>
      </c>
      <c r="AB81" s="182">
        <f>+IF(Z81+[1]SADC!Z81-[1]SADC!Y81-Y81&gt;0,Z81+[1]SADC!Z81-[1]SADC!Y81-Y81,0)</f>
        <v>0</v>
      </c>
      <c r="AC81" s="181"/>
      <c r="AD81" s="182">
        <f t="shared" si="1"/>
        <v>0</v>
      </c>
      <c r="AE81" s="182">
        <f t="shared" si="1"/>
        <v>0</v>
      </c>
      <c r="AF81" s="181"/>
    </row>
    <row r="82" spans="1:32">
      <c r="A82" s="181" t="str">
        <f>+VLOOKUP(B82,'[1]coa-mgb'!A$1:B$65536,2,0)</f>
        <v>Legal Fees</v>
      </c>
      <c r="B82" s="184" t="s">
        <v>103</v>
      </c>
      <c r="C82" s="182">
        <f>+SUMIFS('[1]40201090 00'!$F$1:$F$65536,'[1]40201090 00'!$D$1:$D$65536,"Beginning Balance",'[1]40201090 00'!$D$1:$D$65536,"Beginning Balance")</f>
        <v>0</v>
      </c>
      <c r="D82" s="182">
        <f>+SUMIFS('[1]40201090 00'!$H$1:$H$65536,'[1]40201090 00'!$D$1:$D$65536,"Beginning Balance",'[1]40201090 00'!$D$1:$D$65536,"Beginning Balance")</f>
        <v>0</v>
      </c>
      <c r="E82" s="182">
        <f>+IF(C82+[1]SADC!C82-[1]SADC!D82-D82&gt;0,C82+[1]SADC!C82-[1]SADC!D82-D82,0)</f>
        <v>0</v>
      </c>
      <c r="F82" s="182">
        <f>+IF(D82+[1]SADC!D82-[1]SADC!C82-C82&gt;0,D82+[1]SADC!D82-[1]SADC!C82-C82,0)</f>
        <v>0</v>
      </c>
      <c r="G82" s="182">
        <f>+IF(E82+[1]SADC!E82-[1]SADC!F82-F82&gt;0,E82+[1]SADC!E82-[1]SADC!F82-F82,0)</f>
        <v>0</v>
      </c>
      <c r="H82" s="182">
        <f>+IF(F82+[1]SADC!F82-[1]SADC!E82-E82&gt;0,F82+[1]SADC!F82-[1]SADC!E82-E82,0)</f>
        <v>0</v>
      </c>
      <c r="I82" s="182">
        <f>+IF(G82+[1]SADC!G82-[1]SADC!H82-H82&gt;0,G82+[1]SADC!G82-[1]SADC!H82-H82,0)</f>
        <v>0</v>
      </c>
      <c r="J82" s="182">
        <f>+IF(H82+[1]SADC!H82-[1]SADC!G82-G82&gt;0,H82+[1]SADC!H82-[1]SADC!G82-G82,0)</f>
        <v>0</v>
      </c>
      <c r="K82" s="182">
        <f>+IF(I82+[1]SADC!I82-[1]SADC!J82-J82&gt;0,I82+[1]SADC!I82-[1]SADC!J82-J82,0)</f>
        <v>0</v>
      </c>
      <c r="L82" s="182">
        <f>+IF(J82+[1]SADC!J82-[1]SADC!I82-I82&gt;0,J82+[1]SADC!J82-[1]SADC!I82-I82,0)</f>
        <v>0</v>
      </c>
      <c r="M82" s="182">
        <f>+IF(K82+[1]SADC!K82-[1]SADC!L82-L82&gt;0,K82+[1]SADC!K82-[1]SADC!L82-L82,0)</f>
        <v>0</v>
      </c>
      <c r="N82" s="182">
        <f>+IF(L82+[1]SADC!L82-[1]SADC!K82-K82&gt;0,L82+[1]SADC!L82-[1]SADC!K82-K82,0)</f>
        <v>0</v>
      </c>
      <c r="O82" s="182">
        <f>+IF(M82+[1]SADC!M82-[1]SADC!N82-N82&gt;0,M82+[1]SADC!M82-[1]SADC!N82-N82,0)</f>
        <v>0</v>
      </c>
      <c r="P82" s="182">
        <f>+IF(N82+[1]SADC!N82-[1]SADC!M82-M82&gt;0,N82+[1]SADC!N82-[1]SADC!M82-M82,0)</f>
        <v>0</v>
      </c>
      <c r="Q82" s="182">
        <f>+IF(O82+[1]SADC!O82-[1]SADC!P82-P82&gt;0,O82+[1]SADC!O82-[1]SADC!P82-P82,0)</f>
        <v>0</v>
      </c>
      <c r="R82" s="182">
        <f>+IF(P82+[1]SADC!P82-[1]SADC!O82-O82&gt;0,P82+[1]SADC!P82-[1]SADC!O82-O82,0)</f>
        <v>0</v>
      </c>
      <c r="S82" s="182">
        <f>+IF(Q82+[1]SADC!Q82-[1]SADC!R82-R82&gt;0,Q82+[1]SADC!Q82-[1]SADC!R82-R82,0)</f>
        <v>0</v>
      </c>
      <c r="T82" s="182">
        <f>+IF(R82+[1]SADC!R82-[1]SADC!Q82-Q82&gt;0,R82+[1]SADC!R82-[1]SADC!Q82-Q82,0)</f>
        <v>0</v>
      </c>
      <c r="U82" s="182">
        <f>+IF(S82+[1]SADC!S82-[1]SADC!T82-T82&gt;0,S82+[1]SADC!S82-[1]SADC!T82-T82,0)</f>
        <v>0</v>
      </c>
      <c r="V82" s="182">
        <f>+IF(T82+[1]SADC!T82-[1]SADC!S82-S82&gt;0,T82+[1]SADC!T82-[1]SADC!S82-S82,0)</f>
        <v>0</v>
      </c>
      <c r="W82" s="182">
        <f>+IF(U82+[1]SADC!U82-[1]SADC!V82-V82&gt;0,U82+[1]SADC!U82-[1]SADC!V82-V82,0)</f>
        <v>0</v>
      </c>
      <c r="X82" s="182">
        <f>+IF(V82+[1]SADC!V82-[1]SADC!U82-U82&gt;0,V82+[1]SADC!V82-[1]SADC!U82-U82,0)</f>
        <v>0</v>
      </c>
      <c r="Y82" s="182">
        <f>+IF(W82+[1]SADC!W82-[1]SADC!X82-X82&gt;0,W82+[1]SADC!W82-[1]SADC!X82-X82,0)</f>
        <v>0</v>
      </c>
      <c r="Z82" s="182">
        <f>+IF(X82+[1]SADC!X82-[1]SADC!W82-W82&gt;0,X82+[1]SADC!X82-[1]SADC!W82-W82,0)</f>
        <v>0</v>
      </c>
      <c r="AA82" s="182">
        <f>+IF(Y82+[1]SADC!Y82-[1]SADC!Z82-Z82&gt;0,Y82+[1]SADC!Y82-[1]SADC!Z82-Z82,0)</f>
        <v>0</v>
      </c>
      <c r="AB82" s="182">
        <f>+IF(Z82+[1]SADC!Z82-[1]SADC!Y82-Y82&gt;0,Z82+[1]SADC!Z82-[1]SADC!Y82-Y82,0)</f>
        <v>0</v>
      </c>
      <c r="AC82" s="181"/>
      <c r="AD82" s="182">
        <f t="shared" si="1"/>
        <v>0</v>
      </c>
      <c r="AE82" s="182">
        <f t="shared" si="1"/>
        <v>0</v>
      </c>
      <c r="AF82" s="181"/>
    </row>
    <row r="83" spans="1:32">
      <c r="A83" s="181" t="str">
        <f>+VLOOKUP(B83,'[1]coa-mgb'!A$1:B$65536,2,0)</f>
        <v>Inspection Fees</v>
      </c>
      <c r="B83" s="184" t="s">
        <v>104</v>
      </c>
      <c r="C83" s="182">
        <f>+SUMIFS([1]INSPECTION!$F$1:$F$65536,[1]INSPECTION!$D$1:$D$65536,"Beginning Balance",[1]INSPECTION!$D$1:$D$65536,"Beginning Balance")</f>
        <v>0</v>
      </c>
      <c r="D83" s="182">
        <f>+SUMIFS([1]INSPECTION!$H$1:$H$65536,[1]INSPECTION!$D$1:$D$65536,"Beginning Balance",[1]INSPECTION!$D$1:$D$65536,"Beginning Balance")</f>
        <v>0</v>
      </c>
      <c r="E83" s="182">
        <f>+IF(C83+[1]SADC!C83-[1]SADC!D83-D83&gt;0,C83+[1]SADC!C83-[1]SADC!D83-D83,0)</f>
        <v>0</v>
      </c>
      <c r="F83" s="182">
        <f>+IF(D83+[1]SADC!D83-[1]SADC!C83-C83&gt;0,D83+[1]SADC!D83-[1]SADC!C83-C83,0)</f>
        <v>0</v>
      </c>
      <c r="G83" s="182">
        <f>+IF(E83+[1]SADC!E83-[1]SADC!F83-F83&gt;0,E83+[1]SADC!E83-[1]SADC!F83-F83,0)</f>
        <v>0</v>
      </c>
      <c r="H83" s="182">
        <f>+IF(F83+[1]SADC!F83-[1]SADC!E83-E83&gt;0,F83+[1]SADC!F83-[1]SADC!E83-E83,0)</f>
        <v>0</v>
      </c>
      <c r="I83" s="182">
        <f>+IF(G83+[1]SADC!G83-[1]SADC!H83-H83&gt;0,G83+[1]SADC!G83-[1]SADC!H83-H83,0)</f>
        <v>0</v>
      </c>
      <c r="J83" s="182">
        <f>+IF(H83+[1]SADC!H83-[1]SADC!G83-G83&gt;0,H83+[1]SADC!H83-[1]SADC!G83-G83,0)</f>
        <v>0</v>
      </c>
      <c r="K83" s="182">
        <f>+IF(I83+[1]SADC!I83-[1]SADC!J83-J83&gt;0,I83+[1]SADC!I83-[1]SADC!J83-J83,0)</f>
        <v>0</v>
      </c>
      <c r="L83" s="182">
        <f>+IF(J83+[1]SADC!J83-[1]SADC!I83-I83&gt;0,J83+[1]SADC!J83-[1]SADC!I83-I83,0)</f>
        <v>0</v>
      </c>
      <c r="M83" s="182">
        <f>+IF(K83+[1]SADC!K83-[1]SADC!L83-L83&gt;0,K83+[1]SADC!K83-[1]SADC!L83-L83,0)</f>
        <v>0</v>
      </c>
      <c r="N83" s="182">
        <f>+IF(L83+[1]SADC!L83-[1]SADC!K83-K83&gt;0,L83+[1]SADC!L83-[1]SADC!K83-K83,0)</f>
        <v>0</v>
      </c>
      <c r="O83" s="182">
        <f>+IF(M83+[1]SADC!M83-[1]SADC!N83-N83&gt;0,M83+[1]SADC!M83-[1]SADC!N83-N83,0)</f>
        <v>0</v>
      </c>
      <c r="P83" s="182">
        <f>+IF(N83+[1]SADC!N83-[1]SADC!M83-M83&gt;0,N83+[1]SADC!N83-[1]SADC!M83-M83,0)</f>
        <v>0</v>
      </c>
      <c r="Q83" s="182">
        <f>+IF(O83+[1]SADC!O83-[1]SADC!P83-P83&gt;0,O83+[1]SADC!O83-[1]SADC!P83-P83,0)</f>
        <v>0</v>
      </c>
      <c r="R83" s="182">
        <f>+IF(P83+[1]SADC!P83-[1]SADC!O83-O83&gt;0,P83+[1]SADC!P83-[1]SADC!O83-O83,0)</f>
        <v>0</v>
      </c>
      <c r="S83" s="182">
        <f>+IF(Q83+[1]SADC!Q83-[1]SADC!R83-R83&gt;0,Q83+[1]SADC!Q83-[1]SADC!R83-R83,0)</f>
        <v>0</v>
      </c>
      <c r="T83" s="182">
        <f>+IF(R83+[1]SADC!R83-[1]SADC!Q83-Q83&gt;0,R83+[1]SADC!R83-[1]SADC!Q83-Q83,0)</f>
        <v>0</v>
      </c>
      <c r="U83" s="182">
        <f>+IF(S83+[1]SADC!S83-[1]SADC!T83-T83&gt;0,S83+[1]SADC!S83-[1]SADC!T83-T83,0)</f>
        <v>0</v>
      </c>
      <c r="V83" s="182">
        <f>+IF(T83+[1]SADC!T83-[1]SADC!S83-S83&gt;0,T83+[1]SADC!T83-[1]SADC!S83-S83,0)</f>
        <v>0</v>
      </c>
      <c r="W83" s="182">
        <f>+IF(U83+[1]SADC!U83-[1]SADC!V83-V83&gt;0,U83+[1]SADC!U83-[1]SADC!V83-V83,0)</f>
        <v>0</v>
      </c>
      <c r="X83" s="182">
        <f>+IF(V83+[1]SADC!V83-[1]SADC!U83-U83&gt;0,V83+[1]SADC!V83-[1]SADC!U83-U83,0)</f>
        <v>0</v>
      </c>
      <c r="Y83" s="182">
        <f>+IF(W83+[1]SADC!W83-[1]SADC!X83-X83&gt;0,W83+[1]SADC!W83-[1]SADC!X83-X83,0)</f>
        <v>0</v>
      </c>
      <c r="Z83" s="182">
        <f>+IF(X83+[1]SADC!X83-[1]SADC!W83-W83&gt;0,X83+[1]SADC!X83-[1]SADC!W83-W83,0)</f>
        <v>0</v>
      </c>
      <c r="AA83" s="182">
        <f>+IF(Y83+[1]SADC!Y83-[1]SADC!Z83-Z83&gt;0,Y83+[1]SADC!Y83-[1]SADC!Z83-Z83,0)</f>
        <v>0</v>
      </c>
      <c r="AB83" s="182">
        <f>+IF(Z83+[1]SADC!Z83-[1]SADC!Y83-Y83&gt;0,Z83+[1]SADC!Z83-[1]SADC!Y83-Y83,0)</f>
        <v>0</v>
      </c>
      <c r="AC83" s="181"/>
      <c r="AD83" s="182">
        <f t="shared" si="1"/>
        <v>0</v>
      </c>
      <c r="AE83" s="182">
        <f t="shared" si="1"/>
        <v>0</v>
      </c>
      <c r="AF83" s="181"/>
    </row>
    <row r="84" spans="1:32">
      <c r="A84" s="181" t="str">
        <f>+VLOOKUP(B84,'[1]coa-mgb'!A$1:B$65536,2,0)</f>
        <v>Verification and Authentication Fees</v>
      </c>
      <c r="B84" s="184" t="s">
        <v>105</v>
      </c>
      <c r="C84" s="182">
        <f>+SUMIFS('[1]VER FEE'!$F$1:$F$65536,'[1]VER FEE'!$D$1:$D$65536,"Beginning Balance",'[1]VER FEE'!$D$1:$D$65536,"Beginning Balance")</f>
        <v>0</v>
      </c>
      <c r="D84" s="182">
        <f>+SUMIFS('[1]VER FEE'!$H$1:$H$65536,'[1]VER FEE'!$D$1:$D$65536,"Beginning Balance",'[1]VER FEE'!$D$1:$D$65536,"Beginning Balance")</f>
        <v>0</v>
      </c>
      <c r="E84" s="182">
        <f>+IF(C84+[1]SADC!C84-[1]SADC!D84-D84&gt;0,C84+[1]SADC!C84-[1]SADC!D84-D84,0)</f>
        <v>0</v>
      </c>
      <c r="F84" s="182">
        <f>+IF(D84+[1]SADC!D84-[1]SADC!C84-C84&gt;0,D84+[1]SADC!D84-[1]SADC!C84-C84,0)</f>
        <v>0</v>
      </c>
      <c r="G84" s="182">
        <f>+IF(E84+[1]SADC!E84-[1]SADC!F84-F84&gt;0,E84+[1]SADC!E84-[1]SADC!F84-F84,0)</f>
        <v>0</v>
      </c>
      <c r="H84" s="182">
        <f>+IF(F84+[1]SADC!F84-[1]SADC!E84-E84&gt;0,F84+[1]SADC!F84-[1]SADC!E84-E84,0)</f>
        <v>0</v>
      </c>
      <c r="I84" s="182">
        <f>+IF(G84+[1]SADC!G84-[1]SADC!H84-H84&gt;0,G84+[1]SADC!G84-[1]SADC!H84-H84,0)</f>
        <v>0</v>
      </c>
      <c r="J84" s="182">
        <f>+IF(H84+[1]SADC!H84-[1]SADC!G84-G84&gt;0,H84+[1]SADC!H84-[1]SADC!G84-G84,0)</f>
        <v>0</v>
      </c>
      <c r="K84" s="182">
        <f>+IF(I84+[1]SADC!I84-[1]SADC!J84-J84&gt;0,I84+[1]SADC!I84-[1]SADC!J84-J84,0)</f>
        <v>0</v>
      </c>
      <c r="L84" s="182">
        <f>+IF(J84+[1]SADC!J84-[1]SADC!I84-I84&gt;0,J84+[1]SADC!J84-[1]SADC!I84-I84,0)</f>
        <v>0</v>
      </c>
      <c r="M84" s="182">
        <f>+IF(K84+[1]SADC!K84-[1]SADC!L84-L84&gt;0,K84+[1]SADC!K84-[1]SADC!L84-L84,0)</f>
        <v>0</v>
      </c>
      <c r="N84" s="182">
        <f>+IF(L84+[1]SADC!L84-[1]SADC!K84-K84&gt;0,L84+[1]SADC!L84-[1]SADC!K84-K84,0)</f>
        <v>0</v>
      </c>
      <c r="O84" s="182">
        <f>+IF(M84+[1]SADC!M84-[1]SADC!N84-N84&gt;0,M84+[1]SADC!M84-[1]SADC!N84-N84,0)</f>
        <v>0</v>
      </c>
      <c r="P84" s="182">
        <f>+IF(N84+[1]SADC!N84-[1]SADC!M84-M84&gt;0,N84+[1]SADC!N84-[1]SADC!M84-M84,0)</f>
        <v>0</v>
      </c>
      <c r="Q84" s="182">
        <f>+IF(O84+[1]SADC!O84-[1]SADC!P84-P84&gt;0,O84+[1]SADC!O84-[1]SADC!P84-P84,0)</f>
        <v>0</v>
      </c>
      <c r="R84" s="182">
        <f>+IF(P84+[1]SADC!P84-[1]SADC!O84-O84&gt;0,P84+[1]SADC!P84-[1]SADC!O84-O84,0)</f>
        <v>0</v>
      </c>
      <c r="S84" s="182">
        <f>+IF(Q84+[1]SADC!Q84-[1]SADC!R84-R84&gt;0,Q84+[1]SADC!Q84-[1]SADC!R84-R84,0)</f>
        <v>0</v>
      </c>
      <c r="T84" s="182">
        <f>+IF(R84+[1]SADC!R84-[1]SADC!Q84-Q84&gt;0,R84+[1]SADC!R84-[1]SADC!Q84-Q84,0)</f>
        <v>0</v>
      </c>
      <c r="U84" s="182">
        <f>+IF(S84+[1]SADC!S84-[1]SADC!T84-T84&gt;0,S84+[1]SADC!S84-[1]SADC!T84-T84,0)</f>
        <v>0</v>
      </c>
      <c r="V84" s="182">
        <f>+IF(T84+[1]SADC!T84-[1]SADC!S84-S84&gt;0,T84+[1]SADC!T84-[1]SADC!S84-S84,0)</f>
        <v>0</v>
      </c>
      <c r="W84" s="182">
        <f>+IF(U84+[1]SADC!U84-[1]SADC!V84-V84&gt;0,U84+[1]SADC!U84-[1]SADC!V84-V84,0)</f>
        <v>0</v>
      </c>
      <c r="X84" s="182">
        <f>+IF(V84+[1]SADC!V84-[1]SADC!U84-U84&gt;0,V84+[1]SADC!V84-[1]SADC!U84-U84,0)</f>
        <v>0</v>
      </c>
      <c r="Y84" s="182">
        <f>+IF(W84+[1]SADC!W84-[1]SADC!X84-X84&gt;0,W84+[1]SADC!W84-[1]SADC!X84-X84,0)</f>
        <v>0</v>
      </c>
      <c r="Z84" s="182">
        <f>+IF(X84+[1]SADC!X84-[1]SADC!W84-W84&gt;0,X84+[1]SADC!X84-[1]SADC!W84-W84,0)</f>
        <v>0</v>
      </c>
      <c r="AA84" s="182">
        <f>+IF(Y84+[1]SADC!Y84-[1]SADC!Z84-Z84&gt;0,Y84+[1]SADC!Y84-[1]SADC!Z84-Z84,0)</f>
        <v>0</v>
      </c>
      <c r="AB84" s="182">
        <f>+IF(Z84+[1]SADC!Z84-[1]SADC!Y84-Y84&gt;0,Z84+[1]SADC!Z84-[1]SADC!Y84-Y84,0)</f>
        <v>0</v>
      </c>
      <c r="AC84" s="181"/>
      <c r="AD84" s="182">
        <f t="shared" si="1"/>
        <v>0</v>
      </c>
      <c r="AE84" s="182">
        <f t="shared" si="1"/>
        <v>0</v>
      </c>
      <c r="AF84" s="181"/>
    </row>
    <row r="85" spans="1:32">
      <c r="A85" s="181" t="str">
        <f>+VLOOKUP(B85,'[1]coa-mgb'!A$1:B$65536,2,0)</f>
        <v>Other Verification and Authentication Fees</v>
      </c>
      <c r="B85" s="184" t="s">
        <v>106</v>
      </c>
      <c r="C85" s="182">
        <f>+SUMIFS('[1]40201110 99'!$F$1:$F$65536,'[1]40201110 99'!$D$1:$D$65536,"Beginning Balance",'[1]40201110 99'!$D$1:$D$65536,"Beginning Balance")</f>
        <v>0</v>
      </c>
      <c r="D85" s="182">
        <f>+SUMIFS('[1]40201110 99'!$H$1:$H$65536,'[1]40201110 99'!$D$1:$D$65536,"Beginning Balance",'[1]40201110 99'!$D$1:$D$65536,"Beginning Balance")</f>
        <v>0</v>
      </c>
      <c r="E85" s="182">
        <f>+IF(C85+[1]SADC!C85-[1]SADC!D85-D85&gt;0,C85+[1]SADC!C85-[1]SADC!D85-D85,0)</f>
        <v>0</v>
      </c>
      <c r="F85" s="182">
        <f>+IF(D85+[1]SADC!D85-[1]SADC!C85-C85&gt;0,D85+[1]SADC!D85-[1]SADC!C85-C85,0)</f>
        <v>0</v>
      </c>
      <c r="G85" s="182">
        <f>+IF(E85+[1]SADC!E85-[1]SADC!F85-F85&gt;0,E85+[1]SADC!E85-[1]SADC!F85-F85,0)</f>
        <v>0</v>
      </c>
      <c r="H85" s="182">
        <f>+IF(F85+[1]SADC!F85-[1]SADC!E85-E85&gt;0,F85+[1]SADC!F85-[1]SADC!E85-E85,0)</f>
        <v>0</v>
      </c>
      <c r="I85" s="182">
        <f>+IF(G85+[1]SADC!G85-[1]SADC!H85-H85&gt;0,G85+[1]SADC!G85-[1]SADC!H85-H85,0)</f>
        <v>0</v>
      </c>
      <c r="J85" s="182">
        <f>+IF(H85+[1]SADC!H85-[1]SADC!G85-G85&gt;0,H85+[1]SADC!H85-[1]SADC!G85-G85,0)</f>
        <v>0</v>
      </c>
      <c r="K85" s="182">
        <f>+IF(I85+[1]SADC!I85-[1]SADC!J85-J85&gt;0,I85+[1]SADC!I85-[1]SADC!J85-J85,0)</f>
        <v>0</v>
      </c>
      <c r="L85" s="182">
        <f>+IF(J85+[1]SADC!J85-[1]SADC!I85-I85&gt;0,J85+[1]SADC!J85-[1]SADC!I85-I85,0)</f>
        <v>0</v>
      </c>
      <c r="M85" s="182">
        <f>+IF(K85+[1]SADC!K85-[1]SADC!L85-L85&gt;0,K85+[1]SADC!K85-[1]SADC!L85-L85,0)</f>
        <v>0</v>
      </c>
      <c r="N85" s="182">
        <f>+IF(L85+[1]SADC!L85-[1]SADC!K85-K85&gt;0,L85+[1]SADC!L85-[1]SADC!K85-K85,0)</f>
        <v>0</v>
      </c>
      <c r="O85" s="182">
        <f>+IF(M85+[1]SADC!M85-[1]SADC!N85-N85&gt;0,M85+[1]SADC!M85-[1]SADC!N85-N85,0)</f>
        <v>0</v>
      </c>
      <c r="P85" s="182">
        <f>+IF(N85+[1]SADC!N85-[1]SADC!M85-M85&gt;0,N85+[1]SADC!N85-[1]SADC!M85-M85,0)</f>
        <v>0</v>
      </c>
      <c r="Q85" s="182">
        <f>+IF(O85+[1]SADC!O85-[1]SADC!P85-P85&gt;0,O85+[1]SADC!O85-[1]SADC!P85-P85,0)</f>
        <v>0</v>
      </c>
      <c r="R85" s="182">
        <f>+IF(P85+[1]SADC!P85-[1]SADC!O85-O85&gt;0,P85+[1]SADC!P85-[1]SADC!O85-O85,0)</f>
        <v>0</v>
      </c>
      <c r="S85" s="182">
        <f>+IF(Q85+[1]SADC!Q85-[1]SADC!R85-R85&gt;0,Q85+[1]SADC!Q85-[1]SADC!R85-R85,0)</f>
        <v>0</v>
      </c>
      <c r="T85" s="182">
        <f>+IF(R85+[1]SADC!R85-[1]SADC!Q85-Q85&gt;0,R85+[1]SADC!R85-[1]SADC!Q85-Q85,0)</f>
        <v>0</v>
      </c>
      <c r="U85" s="182">
        <f>+IF(S85+[1]SADC!S85-[1]SADC!T85-T85&gt;0,S85+[1]SADC!S85-[1]SADC!T85-T85,0)</f>
        <v>0</v>
      </c>
      <c r="V85" s="182">
        <f>+IF(T85+[1]SADC!T85-[1]SADC!S85-S85&gt;0,T85+[1]SADC!T85-[1]SADC!S85-S85,0)</f>
        <v>0</v>
      </c>
      <c r="W85" s="182">
        <f>+IF(U85+[1]SADC!U85-[1]SADC!V85-V85&gt;0,U85+[1]SADC!U85-[1]SADC!V85-V85,0)</f>
        <v>0</v>
      </c>
      <c r="X85" s="182">
        <f>+IF(V85+[1]SADC!V85-[1]SADC!U85-U85&gt;0,V85+[1]SADC!V85-[1]SADC!U85-U85,0)</f>
        <v>0</v>
      </c>
      <c r="Y85" s="182">
        <f>+IF(W85+[1]SADC!W85-[1]SADC!X85-X85&gt;0,W85+[1]SADC!W85-[1]SADC!X85-X85,0)</f>
        <v>0</v>
      </c>
      <c r="Z85" s="182">
        <f>+IF(X85+[1]SADC!X85-[1]SADC!W85-W85&gt;0,X85+[1]SADC!X85-[1]SADC!W85-W85,0)</f>
        <v>0</v>
      </c>
      <c r="AA85" s="182">
        <f>+IF(Y85+[1]SADC!Y85-[1]SADC!Z85-Z85&gt;0,Y85+[1]SADC!Y85-[1]SADC!Z85-Z85,0)</f>
        <v>0</v>
      </c>
      <c r="AB85" s="182">
        <f>+IF(Z85+[1]SADC!Z85-[1]SADC!Y85-Y85&gt;0,Z85+[1]SADC!Z85-[1]SADC!Y85-Y85,0)</f>
        <v>0</v>
      </c>
      <c r="AC85" s="181"/>
      <c r="AD85" s="182">
        <f t="shared" si="1"/>
        <v>0</v>
      </c>
      <c r="AE85" s="182">
        <f t="shared" si="1"/>
        <v>0</v>
      </c>
      <c r="AF85" s="181"/>
    </row>
    <row r="86" spans="1:32">
      <c r="A86" s="181" t="str">
        <f>+VLOOKUP(B86,'[1]coa-mgb'!A$1:B$65536,2,0)</f>
        <v>Processing Fees</v>
      </c>
      <c r="B86" s="184" t="s">
        <v>107</v>
      </c>
      <c r="C86" s="182">
        <f>+SUMIFS([1]PROCESSING!$F$1:$F$65536,[1]PROCESSING!$D$1:$D$65536,"Beginning Balance",[1]PROCESSING!$D$1:$D$65536,"Beginning Balance")</f>
        <v>0</v>
      </c>
      <c r="D86" s="182">
        <f>+SUMIFS([1]PROCESSING!$H$1:$H$65536,[1]PROCESSING!$D$1:$D$65536,"Beginning Balance",[1]PROCESSING!$D$1:$D$65536,"Beginning Balance")</f>
        <v>0</v>
      </c>
      <c r="E86" s="182">
        <f>+IF(C86+[1]SADC!C86-[1]SADC!D86-D86&gt;0,C86+[1]SADC!C86-[1]SADC!D86-D86,0)</f>
        <v>0</v>
      </c>
      <c r="F86" s="182">
        <f>+IF(D86+[1]SADC!D86-[1]SADC!C86-C86&gt;0,D86+[1]SADC!D86-[1]SADC!C86-C86,0)</f>
        <v>0</v>
      </c>
      <c r="G86" s="182">
        <f>+IF(E86+[1]SADC!E86-[1]SADC!F86-F86&gt;0,E86+[1]SADC!E86-[1]SADC!F86-F86,0)</f>
        <v>0</v>
      </c>
      <c r="H86" s="182">
        <f>+IF(F86+[1]SADC!F86-[1]SADC!E86-E86&gt;0,F86+[1]SADC!F86-[1]SADC!E86-E86,0)</f>
        <v>0</v>
      </c>
      <c r="I86" s="182">
        <f>+IF(G86+[1]SADC!G86-[1]SADC!H86-H86&gt;0,G86+[1]SADC!G86-[1]SADC!H86-H86,0)</f>
        <v>0</v>
      </c>
      <c r="J86" s="182">
        <f>+IF(H86+[1]SADC!H86-[1]SADC!G86-G86&gt;0,H86+[1]SADC!H86-[1]SADC!G86-G86,0)</f>
        <v>0</v>
      </c>
      <c r="K86" s="182">
        <f>+IF(I86+[1]SADC!I86-[1]SADC!J86-J86&gt;0,I86+[1]SADC!I86-[1]SADC!J86-J86,0)</f>
        <v>0</v>
      </c>
      <c r="L86" s="182">
        <f>+IF(J86+[1]SADC!J86-[1]SADC!I86-I86&gt;0,J86+[1]SADC!J86-[1]SADC!I86-I86,0)</f>
        <v>0</v>
      </c>
      <c r="M86" s="182">
        <f>+IF(K86+[1]SADC!K86-[1]SADC!L86-L86&gt;0,K86+[1]SADC!K86-[1]SADC!L86-L86,0)</f>
        <v>0</v>
      </c>
      <c r="N86" s="182">
        <f>+IF(L86+[1]SADC!L86-[1]SADC!K86-K86&gt;0,L86+[1]SADC!L86-[1]SADC!K86-K86,0)</f>
        <v>0</v>
      </c>
      <c r="O86" s="182">
        <f>+IF(M86+[1]SADC!M86-[1]SADC!N86-N86&gt;0,M86+[1]SADC!M86-[1]SADC!N86-N86,0)</f>
        <v>0</v>
      </c>
      <c r="P86" s="182">
        <f>+IF(N86+[1]SADC!N86-[1]SADC!M86-M86&gt;0,N86+[1]SADC!N86-[1]SADC!M86-M86,0)</f>
        <v>0</v>
      </c>
      <c r="Q86" s="182">
        <f>+IF(O86+[1]SADC!O86-[1]SADC!P86-P86&gt;0,O86+[1]SADC!O86-[1]SADC!P86-P86,0)</f>
        <v>0</v>
      </c>
      <c r="R86" s="182">
        <f>+IF(P86+[1]SADC!P86-[1]SADC!O86-O86&gt;0,P86+[1]SADC!P86-[1]SADC!O86-O86,0)</f>
        <v>0</v>
      </c>
      <c r="S86" s="182">
        <f>+IF(Q86+[1]SADC!Q86-[1]SADC!R86-R86&gt;0,Q86+[1]SADC!Q86-[1]SADC!R86-R86,0)</f>
        <v>0</v>
      </c>
      <c r="T86" s="182">
        <f>+IF(R86+[1]SADC!R86-[1]SADC!Q86-Q86&gt;0,R86+[1]SADC!R86-[1]SADC!Q86-Q86,0)</f>
        <v>0</v>
      </c>
      <c r="U86" s="182">
        <f>+IF(S86+[1]SADC!S86-[1]SADC!T86-T86&gt;0,S86+[1]SADC!S86-[1]SADC!T86-T86,0)</f>
        <v>0</v>
      </c>
      <c r="V86" s="182">
        <f>+IF(T86+[1]SADC!T86-[1]SADC!S86-S86&gt;0,T86+[1]SADC!T86-[1]SADC!S86-S86,0)</f>
        <v>0</v>
      </c>
      <c r="W86" s="182">
        <f>+IF(U86+[1]SADC!U86-[1]SADC!V86-V86&gt;0,U86+[1]SADC!U86-[1]SADC!V86-V86,0)</f>
        <v>0</v>
      </c>
      <c r="X86" s="182">
        <f>+IF(V86+[1]SADC!V86-[1]SADC!U86-U86&gt;0,V86+[1]SADC!V86-[1]SADC!U86-U86,0)</f>
        <v>0</v>
      </c>
      <c r="Y86" s="182">
        <f>+IF(W86+[1]SADC!W86-[1]SADC!X86-X86&gt;0,W86+[1]SADC!W86-[1]SADC!X86-X86,0)</f>
        <v>0</v>
      </c>
      <c r="Z86" s="182">
        <f>+IF(X86+[1]SADC!X86-[1]SADC!W86-W86&gt;0,X86+[1]SADC!X86-[1]SADC!W86-W86,0)</f>
        <v>0</v>
      </c>
      <c r="AA86" s="182">
        <f>+IF(Y86+[1]SADC!Y86-[1]SADC!Z86-Z86&gt;0,Y86+[1]SADC!Y86-[1]SADC!Z86-Z86,0)</f>
        <v>0</v>
      </c>
      <c r="AB86" s="182">
        <f>+IF(Z86+[1]SADC!Z86-[1]SADC!Y86-Y86&gt;0,Z86+[1]SADC!Z86-[1]SADC!Y86-Y86,0)</f>
        <v>0</v>
      </c>
      <c r="AC86" s="181"/>
      <c r="AD86" s="182">
        <f t="shared" si="1"/>
        <v>0</v>
      </c>
      <c r="AE86" s="182">
        <f t="shared" si="1"/>
        <v>0</v>
      </c>
      <c r="AF86" s="181"/>
    </row>
    <row r="87" spans="1:32">
      <c r="A87" s="181" t="str">
        <f>+VLOOKUP(B87,'[1]coa-mgb'!A$1:B$65536,2,0)</f>
        <v>Analysis Fees</v>
      </c>
      <c r="B87" s="184" t="s">
        <v>108</v>
      </c>
      <c r="C87" s="182">
        <f>+SUMIFS('[1]ANALYSIS '!$F$1:$F$65536,'[1]ANALYSIS '!$D$1:$D$65536,"Beginning Balance",'[1]ANALYSIS '!$D$1:$D$65536,"Beginning Balance")</f>
        <v>0</v>
      </c>
      <c r="D87" s="182">
        <f>+SUMIFS('[1]ANALYSIS '!$H$1:$H$65536,'[1]ANALYSIS '!$D$1:$D$65536,"Beginning Balance",'[1]ANALYSIS '!$D$1:$D$65536,"Beginning Balance")</f>
        <v>0</v>
      </c>
      <c r="E87" s="182">
        <f>+IF(C87+[1]SADC!C87-[1]SADC!D87-D87&gt;0,C87+[1]SADC!C87-[1]SADC!D87-D87,0)</f>
        <v>0</v>
      </c>
      <c r="F87" s="182">
        <f>+IF(D87+[1]SADC!D87-[1]SADC!C87-C87&gt;0,D87+[1]SADC!D87-[1]SADC!C87-C87,0)</f>
        <v>0</v>
      </c>
      <c r="G87" s="182">
        <f>+IF(E87+[1]SADC!E87-[1]SADC!F87-F87&gt;0,E87+[1]SADC!E87-[1]SADC!F87-F87,0)</f>
        <v>0</v>
      </c>
      <c r="H87" s="182">
        <f>+IF(F87+[1]SADC!F87-[1]SADC!E87-E87&gt;0,F87+[1]SADC!F87-[1]SADC!E87-E87,0)</f>
        <v>0</v>
      </c>
      <c r="I87" s="182">
        <f>+IF(G87+[1]SADC!G87-[1]SADC!H87-H87&gt;0,G87+[1]SADC!G87-[1]SADC!H87-H87,0)</f>
        <v>0</v>
      </c>
      <c r="J87" s="182">
        <f>+IF(H87+[1]SADC!H87-[1]SADC!G87-G87&gt;0,H87+[1]SADC!H87-[1]SADC!G87-G87,0)</f>
        <v>0</v>
      </c>
      <c r="K87" s="182">
        <f>+IF(I87+[1]SADC!I87-[1]SADC!J87-J87&gt;0,I87+[1]SADC!I87-[1]SADC!J87-J87,0)</f>
        <v>0</v>
      </c>
      <c r="L87" s="182">
        <f>+IF(J87+[1]SADC!J87-[1]SADC!I87-I87&gt;0,J87+[1]SADC!J87-[1]SADC!I87-I87,0)</f>
        <v>0</v>
      </c>
      <c r="M87" s="182">
        <f>+IF(K87+[1]SADC!K87-[1]SADC!L87-L87&gt;0,K87+[1]SADC!K87-[1]SADC!L87-L87,0)</f>
        <v>0</v>
      </c>
      <c r="N87" s="182">
        <f>+IF(L87+[1]SADC!L87-[1]SADC!K87-K87&gt;0,L87+[1]SADC!L87-[1]SADC!K87-K87,0)</f>
        <v>0</v>
      </c>
      <c r="O87" s="182">
        <f>+IF(M87+[1]SADC!M87-[1]SADC!N87-N87&gt;0,M87+[1]SADC!M87-[1]SADC!N87-N87,0)</f>
        <v>0</v>
      </c>
      <c r="P87" s="182">
        <f>+IF(N87+[1]SADC!N87-[1]SADC!M87-M87&gt;0,N87+[1]SADC!N87-[1]SADC!M87-M87,0)</f>
        <v>0</v>
      </c>
      <c r="Q87" s="182">
        <f>+IF(O87+[1]SADC!O87-[1]SADC!P87-P87&gt;0,O87+[1]SADC!O87-[1]SADC!P87-P87,0)</f>
        <v>0</v>
      </c>
      <c r="R87" s="182">
        <f>+IF(P87+[1]SADC!P87-[1]SADC!O87-O87&gt;0,P87+[1]SADC!P87-[1]SADC!O87-O87,0)</f>
        <v>0</v>
      </c>
      <c r="S87" s="182">
        <f>+IF(Q87+[1]SADC!Q87-[1]SADC!R87-R87&gt;0,Q87+[1]SADC!Q87-[1]SADC!R87-R87,0)</f>
        <v>0</v>
      </c>
      <c r="T87" s="182">
        <f>+IF(R87+[1]SADC!R87-[1]SADC!Q87-Q87&gt;0,R87+[1]SADC!R87-[1]SADC!Q87-Q87,0)</f>
        <v>0</v>
      </c>
      <c r="U87" s="182">
        <f>+IF(S87+[1]SADC!S87-[1]SADC!T87-T87&gt;0,S87+[1]SADC!S87-[1]SADC!T87-T87,0)</f>
        <v>0</v>
      </c>
      <c r="V87" s="182">
        <f>+IF(T87+[1]SADC!T87-[1]SADC!S87-S87&gt;0,T87+[1]SADC!T87-[1]SADC!S87-S87,0)</f>
        <v>0</v>
      </c>
      <c r="W87" s="182">
        <f>+IF(U87+[1]SADC!U87-[1]SADC!V87-V87&gt;0,U87+[1]SADC!U87-[1]SADC!V87-V87,0)</f>
        <v>0</v>
      </c>
      <c r="X87" s="182">
        <f>+IF(V87+[1]SADC!V87-[1]SADC!U87-U87&gt;0,V87+[1]SADC!V87-[1]SADC!U87-U87,0)</f>
        <v>0</v>
      </c>
      <c r="Y87" s="182">
        <f>+IF(W87+[1]SADC!W87-[1]SADC!X87-X87&gt;0,W87+[1]SADC!W87-[1]SADC!X87-X87,0)</f>
        <v>0</v>
      </c>
      <c r="Z87" s="182">
        <f>+IF(X87+[1]SADC!X87-[1]SADC!W87-W87&gt;0,X87+[1]SADC!X87-[1]SADC!W87-W87,0)</f>
        <v>0</v>
      </c>
      <c r="AA87" s="182">
        <f>+IF(Y87+[1]SADC!Y87-[1]SADC!Z87-Z87&gt;0,Y87+[1]SADC!Y87-[1]SADC!Z87-Z87,0)</f>
        <v>0</v>
      </c>
      <c r="AB87" s="182">
        <f>+IF(Z87+[1]SADC!Z87-[1]SADC!Y87-Y87&gt;0,Z87+[1]SADC!Z87-[1]SADC!Y87-Y87,0)</f>
        <v>0</v>
      </c>
      <c r="AC87" s="181"/>
      <c r="AD87" s="182">
        <f t="shared" si="1"/>
        <v>0</v>
      </c>
      <c r="AE87" s="182">
        <f t="shared" si="1"/>
        <v>0</v>
      </c>
      <c r="AF87" s="181"/>
    </row>
    <row r="88" spans="1:32">
      <c r="A88" s="181" t="str">
        <f>+VLOOKUP(B88,'[1]coa-mgb'!A$1:B$65536,2,0)</f>
        <v>Appeal Fees</v>
      </c>
      <c r="B88" s="184" t="s">
        <v>109</v>
      </c>
      <c r="C88" s="182">
        <f>+SUMIFS('[1]40201130 02'!$F$1:$F$65536,'[1]40201130 02'!$D$1:$D$65536,"Beginning Balance",'[1]40201130 02'!$D$1:$D$65536,"Beginning Balance")</f>
        <v>0</v>
      </c>
      <c r="D88" s="182">
        <f>+SUMIFS('[1]40201130 02'!$H$1:$H$65536,'[1]40201130 02'!$D$1:$D$65536,"Beginning Balance",'[1]40201130 02'!$D$1:$D$65536,"Beginning Balance")</f>
        <v>0</v>
      </c>
      <c r="E88" s="182">
        <f>+IF(C88+[1]SADC!C88-[1]SADC!D88-D88&gt;0,C88+[1]SADC!C88-[1]SADC!D88-D88,0)</f>
        <v>0</v>
      </c>
      <c r="F88" s="182">
        <f>+IF(D88+[1]SADC!D88-[1]SADC!C88-C88&gt;0,D88+[1]SADC!D88-[1]SADC!C88-C88,0)</f>
        <v>0</v>
      </c>
      <c r="G88" s="182">
        <f>+IF(E88+[1]SADC!E88-[1]SADC!F88-F88&gt;0,E88+[1]SADC!E88-[1]SADC!F88-F88,0)</f>
        <v>0</v>
      </c>
      <c r="H88" s="182">
        <f>+IF(F88+[1]SADC!F88-[1]SADC!E88-E88&gt;0,F88+[1]SADC!F88-[1]SADC!E88-E88,0)</f>
        <v>0</v>
      </c>
      <c r="I88" s="182">
        <f>+IF(G88+[1]SADC!G88-[1]SADC!H88-H88&gt;0,G88+[1]SADC!G88-[1]SADC!H88-H88,0)</f>
        <v>0</v>
      </c>
      <c r="J88" s="182">
        <f>+IF(H88+[1]SADC!H88-[1]SADC!G88-G88&gt;0,H88+[1]SADC!H88-[1]SADC!G88-G88,0)</f>
        <v>0</v>
      </c>
      <c r="K88" s="182">
        <f>+IF(I88+[1]SADC!I88-[1]SADC!J88-J88&gt;0,I88+[1]SADC!I88-[1]SADC!J88-J88,0)</f>
        <v>0</v>
      </c>
      <c r="L88" s="182">
        <f>+IF(J88+[1]SADC!J88-[1]SADC!I88-I88&gt;0,J88+[1]SADC!J88-[1]SADC!I88-I88,0)</f>
        <v>0</v>
      </c>
      <c r="M88" s="182">
        <f>+IF(K88+[1]SADC!K88-[1]SADC!L88-L88&gt;0,K88+[1]SADC!K88-[1]SADC!L88-L88,0)</f>
        <v>0</v>
      </c>
      <c r="N88" s="182">
        <f>+IF(L88+[1]SADC!L88-[1]SADC!K88-K88&gt;0,L88+[1]SADC!L88-[1]SADC!K88-K88,0)</f>
        <v>0</v>
      </c>
      <c r="O88" s="182">
        <f>+IF(M88+[1]SADC!M88-[1]SADC!N88-N88&gt;0,M88+[1]SADC!M88-[1]SADC!N88-N88,0)</f>
        <v>0</v>
      </c>
      <c r="P88" s="182">
        <f>+IF(N88+[1]SADC!N88-[1]SADC!M88-M88&gt;0,N88+[1]SADC!N88-[1]SADC!M88-M88,0)</f>
        <v>0</v>
      </c>
      <c r="Q88" s="182">
        <f>+IF(O88+[1]SADC!O88-[1]SADC!P88-P88&gt;0,O88+[1]SADC!O88-[1]SADC!P88-P88,0)</f>
        <v>0</v>
      </c>
      <c r="R88" s="182">
        <f>+IF(P88+[1]SADC!P88-[1]SADC!O88-O88&gt;0,P88+[1]SADC!P88-[1]SADC!O88-O88,0)</f>
        <v>0</v>
      </c>
      <c r="S88" s="182">
        <f>+IF(Q88+[1]SADC!Q88-[1]SADC!R88-R88&gt;0,Q88+[1]SADC!Q88-[1]SADC!R88-R88,0)</f>
        <v>0</v>
      </c>
      <c r="T88" s="182">
        <f>+IF(R88+[1]SADC!R88-[1]SADC!Q88-Q88&gt;0,R88+[1]SADC!R88-[1]SADC!Q88-Q88,0)</f>
        <v>0</v>
      </c>
      <c r="U88" s="182">
        <f>+IF(S88+[1]SADC!S88-[1]SADC!T88-T88&gt;0,S88+[1]SADC!S88-[1]SADC!T88-T88,0)</f>
        <v>0</v>
      </c>
      <c r="V88" s="182">
        <f>+IF(T88+[1]SADC!T88-[1]SADC!S88-S88&gt;0,T88+[1]SADC!T88-[1]SADC!S88-S88,0)</f>
        <v>0</v>
      </c>
      <c r="W88" s="182">
        <f>+IF(U88+[1]SADC!U88-[1]SADC!V88-V88&gt;0,U88+[1]SADC!U88-[1]SADC!V88-V88,0)</f>
        <v>0</v>
      </c>
      <c r="X88" s="182">
        <f>+IF(V88+[1]SADC!V88-[1]SADC!U88-U88&gt;0,V88+[1]SADC!V88-[1]SADC!U88-U88,0)</f>
        <v>0</v>
      </c>
      <c r="Y88" s="182">
        <f>+IF(W88+[1]SADC!W88-[1]SADC!X88-X88&gt;0,W88+[1]SADC!W88-[1]SADC!X88-X88,0)</f>
        <v>0</v>
      </c>
      <c r="Z88" s="182">
        <f>+IF(X88+[1]SADC!X88-[1]SADC!W88-W88&gt;0,X88+[1]SADC!X88-[1]SADC!W88-W88,0)</f>
        <v>0</v>
      </c>
      <c r="AA88" s="182">
        <f>+IF(Y88+[1]SADC!Y88-[1]SADC!Z88-Z88&gt;0,Y88+[1]SADC!Y88-[1]SADC!Z88-Z88,0)</f>
        <v>0</v>
      </c>
      <c r="AB88" s="182">
        <f>+IF(Z88+[1]SADC!Z88-[1]SADC!Y88-Y88&gt;0,Z88+[1]SADC!Z88-[1]SADC!Y88-Y88,0)</f>
        <v>0</v>
      </c>
      <c r="AC88" s="181"/>
      <c r="AD88" s="182">
        <f t="shared" si="1"/>
        <v>0</v>
      </c>
      <c r="AE88" s="182">
        <f t="shared" si="1"/>
        <v>0</v>
      </c>
      <c r="AF88" s="181"/>
    </row>
    <row r="89" spans="1:32">
      <c r="A89" s="181" t="str">
        <f>+VLOOKUP(B89,'[1]coa-mgb'!A$1:B$65536,2,0)</f>
        <v xml:space="preserve">Application Fees </v>
      </c>
      <c r="B89" s="184" t="s">
        <v>110</v>
      </c>
      <c r="C89" s="182">
        <f>+SUMIFS([1]APPLICATION!$F$1:$F$65536,[1]APPLICATION!$D$1:$D$65536,"Beginning Balance",[1]APPLICATION!$D$1:$D$65536,"Beginning Balance")</f>
        <v>0</v>
      </c>
      <c r="D89" s="182">
        <f>+SUMIFS([1]APPLICATION!$H$1:$H$65536,[1]APPLICATION!$D$1:$D$65536,"Beginning Balance",[1]APPLICATION!$D$1:$D$65536,"Beginning Balance")</f>
        <v>0</v>
      </c>
      <c r="E89" s="182">
        <f>+IF(C89+[1]SADC!C89-[1]SADC!D89-D89&gt;0,C89+[1]SADC!C89-[1]SADC!D89-D89,0)</f>
        <v>0</v>
      </c>
      <c r="F89" s="182">
        <f>+IF(D89+[1]SADC!D89-[1]SADC!C89-C89&gt;0,D89+[1]SADC!D89-[1]SADC!C89-C89,0)</f>
        <v>0</v>
      </c>
      <c r="G89" s="182">
        <f>+IF(E89+[1]SADC!E89-[1]SADC!F89-F89&gt;0,E89+[1]SADC!E89-[1]SADC!F89-F89,0)</f>
        <v>0</v>
      </c>
      <c r="H89" s="182">
        <f>+IF(F89+[1]SADC!F89-[1]SADC!E89-E89&gt;0,F89+[1]SADC!F89-[1]SADC!E89-E89,0)</f>
        <v>0</v>
      </c>
      <c r="I89" s="182">
        <f>+IF(G89+[1]SADC!G89-[1]SADC!H89-H89&gt;0,G89+[1]SADC!G89-[1]SADC!H89-H89,0)</f>
        <v>0</v>
      </c>
      <c r="J89" s="182">
        <f>+IF(H89+[1]SADC!H89-[1]SADC!G89-G89&gt;0,H89+[1]SADC!H89-[1]SADC!G89-G89,0)</f>
        <v>0</v>
      </c>
      <c r="K89" s="182">
        <f>+IF(I89+[1]SADC!I89-[1]SADC!J89-J89&gt;0,I89+[1]SADC!I89-[1]SADC!J89-J89,0)</f>
        <v>0</v>
      </c>
      <c r="L89" s="182">
        <f>+IF(J89+[1]SADC!J89-[1]SADC!I89-I89&gt;0,J89+[1]SADC!J89-[1]SADC!I89-I89,0)</f>
        <v>0</v>
      </c>
      <c r="M89" s="182">
        <f>+IF(K89+[1]SADC!K89-[1]SADC!L89-L89&gt;0,K89+[1]SADC!K89-[1]SADC!L89-L89,0)</f>
        <v>0</v>
      </c>
      <c r="N89" s="182">
        <f>+IF(L89+[1]SADC!L89-[1]SADC!K89-K89&gt;0,L89+[1]SADC!L89-[1]SADC!K89-K89,0)</f>
        <v>0</v>
      </c>
      <c r="O89" s="182">
        <f>+IF(M89+[1]SADC!M89-[1]SADC!N89-N89&gt;0,M89+[1]SADC!M89-[1]SADC!N89-N89,0)</f>
        <v>0</v>
      </c>
      <c r="P89" s="182">
        <f>+IF(N89+[1]SADC!N89-[1]SADC!M89-M89&gt;0,N89+[1]SADC!N89-[1]SADC!M89-M89,0)</f>
        <v>0</v>
      </c>
      <c r="Q89" s="182">
        <f>+IF(O89+[1]SADC!O89-[1]SADC!P89-P89&gt;0,O89+[1]SADC!O89-[1]SADC!P89-P89,0)</f>
        <v>0</v>
      </c>
      <c r="R89" s="182">
        <f>+IF(P89+[1]SADC!P89-[1]SADC!O89-O89&gt;0,P89+[1]SADC!P89-[1]SADC!O89-O89,0)</f>
        <v>0</v>
      </c>
      <c r="S89" s="182">
        <f>+IF(Q89+[1]SADC!Q89-[1]SADC!R89-R89&gt;0,Q89+[1]SADC!Q89-[1]SADC!R89-R89,0)</f>
        <v>0</v>
      </c>
      <c r="T89" s="182">
        <f>+IF(R89+[1]SADC!R89-[1]SADC!Q89-Q89&gt;0,R89+[1]SADC!R89-[1]SADC!Q89-Q89,0)</f>
        <v>0</v>
      </c>
      <c r="U89" s="182">
        <f>+IF(S89+[1]SADC!S89-[1]SADC!T89-T89&gt;0,S89+[1]SADC!S89-[1]SADC!T89-T89,0)</f>
        <v>0</v>
      </c>
      <c r="V89" s="182">
        <f>+IF(T89+[1]SADC!T89-[1]SADC!S89-S89&gt;0,T89+[1]SADC!T89-[1]SADC!S89-S89,0)</f>
        <v>0</v>
      </c>
      <c r="W89" s="182">
        <f>+IF(U89+[1]SADC!U89-[1]SADC!V89-V89&gt;0,U89+[1]SADC!U89-[1]SADC!V89-V89,0)</f>
        <v>0</v>
      </c>
      <c r="X89" s="182">
        <f>+IF(V89+[1]SADC!V89-[1]SADC!U89-U89&gt;0,V89+[1]SADC!V89-[1]SADC!U89-U89,0)</f>
        <v>0</v>
      </c>
      <c r="Y89" s="182">
        <f>+IF(W89+[1]SADC!W89-[1]SADC!X89-X89&gt;0,W89+[1]SADC!W89-[1]SADC!X89-X89,0)</f>
        <v>0</v>
      </c>
      <c r="Z89" s="182">
        <f>+IF(X89+[1]SADC!X89-[1]SADC!W89-W89&gt;0,X89+[1]SADC!X89-[1]SADC!W89-W89,0)</f>
        <v>0</v>
      </c>
      <c r="AA89" s="182">
        <f>+IF(Y89+[1]SADC!Y89-[1]SADC!Z89-Z89&gt;0,Y89+[1]SADC!Y89-[1]SADC!Z89-Z89,0)</f>
        <v>0</v>
      </c>
      <c r="AB89" s="182">
        <f>+IF(Z89+[1]SADC!Z89-[1]SADC!Y89-Y89&gt;0,Z89+[1]SADC!Z89-[1]SADC!Y89-Y89,0)</f>
        <v>0</v>
      </c>
      <c r="AC89" s="181"/>
      <c r="AD89" s="182">
        <f t="shared" si="1"/>
        <v>0</v>
      </c>
      <c r="AE89" s="182">
        <f t="shared" si="1"/>
        <v>0</v>
      </c>
      <c r="AF89" s="181"/>
    </row>
    <row r="90" spans="1:32">
      <c r="A90" s="181" t="str">
        <f>+VLOOKUP(B90,'[1]coa-mgb'!A$1:B$65536,2,0)</f>
        <v>Assessment Fees</v>
      </c>
      <c r="B90" s="184" t="s">
        <v>111</v>
      </c>
      <c r="C90" s="182">
        <f>+SUMIFS([1]ASSESSMENT!$F$1:$F$65536,[1]ASSESSMENT!$D$1:$D$65536,"Beginning Balance",[1]ASSESSMENT!$D$1:$D$65536,"Beginning Balance")</f>
        <v>0</v>
      </c>
      <c r="D90" s="182">
        <f>+SUMIFS([1]ASSESSMENT!$H$1:$H$65536,[1]ASSESSMENT!$D$1:$D$65536,"Beginning Balance",[1]ASSESSMENT!$D$1:$D$65536,"Beginning Balance")</f>
        <v>0</v>
      </c>
      <c r="E90" s="182">
        <f>+IF(C90+[1]SADC!C90-[1]SADC!D90-D90&gt;0,C90+[1]SADC!C90-[1]SADC!D90-D90,0)</f>
        <v>0</v>
      </c>
      <c r="F90" s="182">
        <f>+IF(D90+[1]SADC!D90-[1]SADC!C90-C90&gt;0,D90+[1]SADC!D90-[1]SADC!C90-C90,0)</f>
        <v>0</v>
      </c>
      <c r="G90" s="182">
        <f>+IF(E90+[1]SADC!E90-[1]SADC!F90-F90&gt;0,E90+[1]SADC!E90-[1]SADC!F90-F90,0)</f>
        <v>0</v>
      </c>
      <c r="H90" s="182">
        <f>+IF(F90+[1]SADC!F90-[1]SADC!E90-E90&gt;0,F90+[1]SADC!F90-[1]SADC!E90-E90,0)</f>
        <v>0</v>
      </c>
      <c r="I90" s="182">
        <f>+IF(G90+[1]SADC!G90-[1]SADC!H90-H90&gt;0,G90+[1]SADC!G90-[1]SADC!H90-H90,0)</f>
        <v>0</v>
      </c>
      <c r="J90" s="182">
        <f>+IF(H90+[1]SADC!H90-[1]SADC!G90-G90&gt;0,H90+[1]SADC!H90-[1]SADC!G90-G90,0)</f>
        <v>0</v>
      </c>
      <c r="K90" s="182">
        <f>+IF(I90+[1]SADC!I90-[1]SADC!J90-J90&gt;0,I90+[1]SADC!I90-[1]SADC!J90-J90,0)</f>
        <v>0</v>
      </c>
      <c r="L90" s="182">
        <f>+IF(J90+[1]SADC!J90-[1]SADC!I90-I90&gt;0,J90+[1]SADC!J90-[1]SADC!I90-I90,0)</f>
        <v>0</v>
      </c>
      <c r="M90" s="182">
        <f>+IF(K90+[1]SADC!K90-[1]SADC!L90-L90&gt;0,K90+[1]SADC!K90-[1]SADC!L90-L90,0)</f>
        <v>0</v>
      </c>
      <c r="N90" s="182">
        <f>+IF(L90+[1]SADC!L90-[1]SADC!K90-K90&gt;0,L90+[1]SADC!L90-[1]SADC!K90-K90,0)</f>
        <v>0</v>
      </c>
      <c r="O90" s="182">
        <f>+IF(M90+[1]SADC!M90-[1]SADC!N90-N90&gt;0,M90+[1]SADC!M90-[1]SADC!N90-N90,0)</f>
        <v>0</v>
      </c>
      <c r="P90" s="182">
        <f>+IF(N90+[1]SADC!N90-[1]SADC!M90-M90&gt;0,N90+[1]SADC!N90-[1]SADC!M90-M90,0)</f>
        <v>0</v>
      </c>
      <c r="Q90" s="182">
        <f>+IF(O90+[1]SADC!O90-[1]SADC!P90-P90&gt;0,O90+[1]SADC!O90-[1]SADC!P90-P90,0)</f>
        <v>0</v>
      </c>
      <c r="R90" s="182">
        <f>+IF(P90+[1]SADC!P90-[1]SADC!O90-O90&gt;0,P90+[1]SADC!P90-[1]SADC!O90-O90,0)</f>
        <v>0</v>
      </c>
      <c r="S90" s="182">
        <f>+IF(Q90+[1]SADC!Q90-[1]SADC!R90-R90&gt;0,Q90+[1]SADC!Q90-[1]SADC!R90-R90,0)</f>
        <v>0</v>
      </c>
      <c r="T90" s="182">
        <f>+IF(R90+[1]SADC!R90-[1]SADC!Q90-Q90&gt;0,R90+[1]SADC!R90-[1]SADC!Q90-Q90,0)</f>
        <v>0</v>
      </c>
      <c r="U90" s="182">
        <f>+IF(S90+[1]SADC!S90-[1]SADC!T90-T90&gt;0,S90+[1]SADC!S90-[1]SADC!T90-T90,0)</f>
        <v>0</v>
      </c>
      <c r="V90" s="182">
        <f>+IF(T90+[1]SADC!T90-[1]SADC!S90-S90&gt;0,T90+[1]SADC!T90-[1]SADC!S90-S90,0)</f>
        <v>0</v>
      </c>
      <c r="W90" s="182">
        <f>+IF(U90+[1]SADC!U90-[1]SADC!V90-V90&gt;0,U90+[1]SADC!U90-[1]SADC!V90-V90,0)</f>
        <v>0</v>
      </c>
      <c r="X90" s="182">
        <f>+IF(V90+[1]SADC!V90-[1]SADC!U90-U90&gt;0,V90+[1]SADC!V90-[1]SADC!U90-U90,0)</f>
        <v>0</v>
      </c>
      <c r="Y90" s="182">
        <f>+IF(W90+[1]SADC!W90-[1]SADC!X90-X90&gt;0,W90+[1]SADC!W90-[1]SADC!X90-X90,0)</f>
        <v>0</v>
      </c>
      <c r="Z90" s="182">
        <f>+IF(X90+[1]SADC!X90-[1]SADC!W90-W90&gt;0,X90+[1]SADC!X90-[1]SADC!W90-W90,0)</f>
        <v>0</v>
      </c>
      <c r="AA90" s="182">
        <f>+IF(Y90+[1]SADC!Y90-[1]SADC!Z90-Z90&gt;0,Y90+[1]SADC!Y90-[1]SADC!Z90-Z90,0)</f>
        <v>0</v>
      </c>
      <c r="AB90" s="182">
        <f>+IF(Z90+[1]SADC!Z90-[1]SADC!Y90-Y90&gt;0,Z90+[1]SADC!Z90-[1]SADC!Y90-Y90,0)</f>
        <v>0</v>
      </c>
      <c r="AC90" s="181"/>
      <c r="AD90" s="182">
        <f t="shared" si="1"/>
        <v>0</v>
      </c>
      <c r="AE90" s="182">
        <f t="shared" si="1"/>
        <v>0</v>
      </c>
      <c r="AF90" s="181"/>
    </row>
    <row r="91" spans="1:32">
      <c r="A91" s="181" t="str">
        <f>+VLOOKUP(B91,'[1]coa-mgb'!A$1:B$65536,2,0)</f>
        <v xml:space="preserve">Filing Fees </v>
      </c>
      <c r="B91" s="184" t="s">
        <v>112</v>
      </c>
      <c r="C91" s="182">
        <f>+SUMIFS([1]FILING!$F$1:$F$65536,[1]FILING!$D$1:$D$65536,"Beginning Balance",[1]FILING!$D$1:$D$65536,"Beginning Balance")</f>
        <v>0</v>
      </c>
      <c r="D91" s="182">
        <f>+SUMIFS([1]FILING!$H$1:$H$65536,[1]FILING!$D$1:$D$65536,"Beginning Balance",[1]FILING!$D$1:$D$65536,"Beginning Balance")</f>
        <v>0</v>
      </c>
      <c r="E91" s="182">
        <f>+IF(C91+[1]SADC!C91-[1]SADC!D91-D91&gt;0,C91+[1]SADC!C91-[1]SADC!D91-D91,0)</f>
        <v>0</v>
      </c>
      <c r="F91" s="182">
        <f>+IF(D91+[1]SADC!D91-[1]SADC!C91-C91&gt;0,D91+[1]SADC!D91-[1]SADC!C91-C91,0)</f>
        <v>0</v>
      </c>
      <c r="G91" s="182">
        <f>+IF(E91+[1]SADC!E91-[1]SADC!F91-F91&gt;0,E91+[1]SADC!E91-[1]SADC!F91-F91,0)</f>
        <v>0</v>
      </c>
      <c r="H91" s="182">
        <f>+IF(F91+[1]SADC!F91-[1]SADC!E91-E91&gt;0,F91+[1]SADC!F91-[1]SADC!E91-E91,0)</f>
        <v>0</v>
      </c>
      <c r="I91" s="182">
        <f>+IF(G91+[1]SADC!G91-[1]SADC!H91-H91&gt;0,G91+[1]SADC!G91-[1]SADC!H91-H91,0)</f>
        <v>0</v>
      </c>
      <c r="J91" s="182">
        <f>+IF(H91+[1]SADC!H91-[1]SADC!G91-G91&gt;0,H91+[1]SADC!H91-[1]SADC!G91-G91,0)</f>
        <v>0</v>
      </c>
      <c r="K91" s="182">
        <f>+IF(I91+[1]SADC!I91-[1]SADC!J91-J91&gt;0,I91+[1]SADC!I91-[1]SADC!J91-J91,0)</f>
        <v>0</v>
      </c>
      <c r="L91" s="182">
        <f>+IF(J91+[1]SADC!J91-[1]SADC!I91-I91&gt;0,J91+[1]SADC!J91-[1]SADC!I91-I91,0)</f>
        <v>0</v>
      </c>
      <c r="M91" s="182">
        <f>+IF(K91+[1]SADC!K91-[1]SADC!L91-L91&gt;0,K91+[1]SADC!K91-[1]SADC!L91-L91,0)</f>
        <v>0</v>
      </c>
      <c r="N91" s="182">
        <f>+IF(L91+[1]SADC!L91-[1]SADC!K91-K91&gt;0,L91+[1]SADC!L91-[1]SADC!K91-K91,0)</f>
        <v>0</v>
      </c>
      <c r="O91" s="182">
        <f>+IF(M91+[1]SADC!M91-[1]SADC!N91-N91&gt;0,M91+[1]SADC!M91-[1]SADC!N91-N91,0)</f>
        <v>0</v>
      </c>
      <c r="P91" s="182">
        <f>+IF(N91+[1]SADC!N91-[1]SADC!M91-M91&gt;0,N91+[1]SADC!N91-[1]SADC!M91-M91,0)</f>
        <v>0</v>
      </c>
      <c r="Q91" s="182">
        <f>+IF(O91+[1]SADC!O91-[1]SADC!P91-P91&gt;0,O91+[1]SADC!O91-[1]SADC!P91-P91,0)</f>
        <v>0</v>
      </c>
      <c r="R91" s="182">
        <f>+IF(P91+[1]SADC!P91-[1]SADC!O91-O91&gt;0,P91+[1]SADC!P91-[1]SADC!O91-O91,0)</f>
        <v>0</v>
      </c>
      <c r="S91" s="182">
        <f>+IF(Q91+[1]SADC!Q91-[1]SADC!R91-R91&gt;0,Q91+[1]SADC!Q91-[1]SADC!R91-R91,0)</f>
        <v>0</v>
      </c>
      <c r="T91" s="182">
        <f>+IF(R91+[1]SADC!R91-[1]SADC!Q91-Q91&gt;0,R91+[1]SADC!R91-[1]SADC!Q91-Q91,0)</f>
        <v>0</v>
      </c>
      <c r="U91" s="182">
        <f>+IF(S91+[1]SADC!S91-[1]SADC!T91-T91&gt;0,S91+[1]SADC!S91-[1]SADC!T91-T91,0)</f>
        <v>0</v>
      </c>
      <c r="V91" s="182">
        <f>+IF(T91+[1]SADC!T91-[1]SADC!S91-S91&gt;0,T91+[1]SADC!T91-[1]SADC!S91-S91,0)</f>
        <v>0</v>
      </c>
      <c r="W91" s="182">
        <f>+IF(U91+[1]SADC!U91-[1]SADC!V91-V91&gt;0,U91+[1]SADC!U91-[1]SADC!V91-V91,0)</f>
        <v>0</v>
      </c>
      <c r="X91" s="182">
        <f>+IF(V91+[1]SADC!V91-[1]SADC!U91-U91&gt;0,V91+[1]SADC!V91-[1]SADC!U91-U91,0)</f>
        <v>0</v>
      </c>
      <c r="Y91" s="182">
        <f>+IF(W91+[1]SADC!W91-[1]SADC!X91-X91&gt;0,W91+[1]SADC!W91-[1]SADC!X91-X91,0)</f>
        <v>0</v>
      </c>
      <c r="Z91" s="182">
        <f>+IF(X91+[1]SADC!X91-[1]SADC!W91-W91&gt;0,X91+[1]SADC!X91-[1]SADC!W91-W91,0)</f>
        <v>0</v>
      </c>
      <c r="AA91" s="182">
        <f>+IF(Y91+[1]SADC!Y91-[1]SADC!Z91-Z91&gt;0,Y91+[1]SADC!Y91-[1]SADC!Z91-Z91,0)</f>
        <v>0</v>
      </c>
      <c r="AB91" s="182">
        <f>+IF(Z91+[1]SADC!Z91-[1]SADC!Y91-Y91&gt;0,Z91+[1]SADC!Z91-[1]SADC!Y91-Y91,0)</f>
        <v>0</v>
      </c>
      <c r="AC91" s="181"/>
      <c r="AD91" s="182">
        <f t="shared" si="1"/>
        <v>0</v>
      </c>
      <c r="AE91" s="182">
        <f t="shared" si="1"/>
        <v>0</v>
      </c>
      <c r="AF91" s="181"/>
    </row>
    <row r="92" spans="1:32">
      <c r="A92" s="181" t="str">
        <f>+VLOOKUP(B92,'[1]coa-mgb'!A$1:B$65536,2,0)</f>
        <v>Review Fees</v>
      </c>
      <c r="B92" s="184" t="s">
        <v>113</v>
      </c>
      <c r="C92" s="182">
        <f>+SUMIFS('[1]40201130 11'!$F$1:$F$65536,'[1]40201130 11'!$D$1:$D$65536,"Beginning Balance",'[1]40201130 11'!$D$1:$D$65536,"Beginning Balance")</f>
        <v>0</v>
      </c>
      <c r="D92" s="182">
        <f>+SUMIFS('[1]40201130 11'!$H$1:$H$65536,'[1]40201130 11'!$D$1:$D$65536,"Beginning Balance",'[1]40201130 11'!$D$1:$D$65536,"Beginning Balance")</f>
        <v>0</v>
      </c>
      <c r="E92" s="182">
        <f>+IF(C92+[1]SADC!C92-[1]SADC!D92-D92&gt;0,C92+[1]SADC!C92-[1]SADC!D92-D92,0)</f>
        <v>0</v>
      </c>
      <c r="F92" s="182">
        <f>+IF(D92+[1]SADC!D92-[1]SADC!C92-C92&gt;0,D92+[1]SADC!D92-[1]SADC!C92-C92,0)</f>
        <v>0</v>
      </c>
      <c r="G92" s="182">
        <f>+IF(E92+[1]SADC!E92-[1]SADC!F92-F92&gt;0,E92+[1]SADC!E92-[1]SADC!F92-F92,0)</f>
        <v>0</v>
      </c>
      <c r="H92" s="182">
        <f>+IF(F92+[1]SADC!F92-[1]SADC!E92-E92&gt;0,F92+[1]SADC!F92-[1]SADC!E92-E92,0)</f>
        <v>0</v>
      </c>
      <c r="I92" s="182">
        <f>+IF(G92+[1]SADC!G92-[1]SADC!H92-H92&gt;0,G92+[1]SADC!G92-[1]SADC!H92-H92,0)</f>
        <v>0</v>
      </c>
      <c r="J92" s="182">
        <f>+IF(H92+[1]SADC!H92-[1]SADC!G92-G92&gt;0,H92+[1]SADC!H92-[1]SADC!G92-G92,0)</f>
        <v>0</v>
      </c>
      <c r="K92" s="182">
        <f>+IF(I92+[1]SADC!I92-[1]SADC!J92-J92&gt;0,I92+[1]SADC!I92-[1]SADC!J92-J92,0)</f>
        <v>0</v>
      </c>
      <c r="L92" s="182">
        <f>+IF(J92+[1]SADC!J92-[1]SADC!I92-I92&gt;0,J92+[1]SADC!J92-[1]SADC!I92-I92,0)</f>
        <v>0</v>
      </c>
      <c r="M92" s="182">
        <f>+IF(K92+[1]SADC!K92-[1]SADC!L92-L92&gt;0,K92+[1]SADC!K92-[1]SADC!L92-L92,0)</f>
        <v>0</v>
      </c>
      <c r="N92" s="182">
        <f>+IF(L92+[1]SADC!L92-[1]SADC!K92-K92&gt;0,L92+[1]SADC!L92-[1]SADC!K92-K92,0)</f>
        <v>0</v>
      </c>
      <c r="O92" s="182">
        <f>+IF(M92+[1]SADC!M92-[1]SADC!N92-N92&gt;0,M92+[1]SADC!M92-[1]SADC!N92-N92,0)</f>
        <v>0</v>
      </c>
      <c r="P92" s="182">
        <f>+IF(N92+[1]SADC!N92-[1]SADC!M92-M92&gt;0,N92+[1]SADC!N92-[1]SADC!M92-M92,0)</f>
        <v>0</v>
      </c>
      <c r="Q92" s="182">
        <f>+IF(O92+[1]SADC!O92-[1]SADC!P92-P92&gt;0,O92+[1]SADC!O92-[1]SADC!P92-P92,0)</f>
        <v>0</v>
      </c>
      <c r="R92" s="182">
        <f>+IF(P92+[1]SADC!P92-[1]SADC!O92-O92&gt;0,P92+[1]SADC!P92-[1]SADC!O92-O92,0)</f>
        <v>0</v>
      </c>
      <c r="S92" s="182">
        <f>+IF(Q92+[1]SADC!Q92-[1]SADC!R92-R92&gt;0,Q92+[1]SADC!Q92-[1]SADC!R92-R92,0)</f>
        <v>0</v>
      </c>
      <c r="T92" s="182">
        <f>+IF(R92+[1]SADC!R92-[1]SADC!Q92-Q92&gt;0,R92+[1]SADC!R92-[1]SADC!Q92-Q92,0)</f>
        <v>0</v>
      </c>
      <c r="U92" s="182">
        <f>+IF(S92+[1]SADC!S92-[1]SADC!T92-T92&gt;0,S92+[1]SADC!S92-[1]SADC!T92-T92,0)</f>
        <v>0</v>
      </c>
      <c r="V92" s="182">
        <f>+IF(T92+[1]SADC!T92-[1]SADC!S92-S92&gt;0,T92+[1]SADC!T92-[1]SADC!S92-S92,0)</f>
        <v>0</v>
      </c>
      <c r="W92" s="182">
        <f>+IF(U92+[1]SADC!U92-[1]SADC!V92-V92&gt;0,U92+[1]SADC!U92-[1]SADC!V92-V92,0)</f>
        <v>0</v>
      </c>
      <c r="X92" s="182">
        <f>+IF(V92+[1]SADC!V92-[1]SADC!U92-U92&gt;0,V92+[1]SADC!V92-[1]SADC!U92-U92,0)</f>
        <v>0</v>
      </c>
      <c r="Y92" s="182">
        <f>+IF(W92+[1]SADC!W92-[1]SADC!X92-X92&gt;0,W92+[1]SADC!W92-[1]SADC!X92-X92,0)</f>
        <v>0</v>
      </c>
      <c r="Z92" s="182">
        <f>+IF(X92+[1]SADC!X92-[1]SADC!W92-W92&gt;0,X92+[1]SADC!X92-[1]SADC!W92-W92,0)</f>
        <v>0</v>
      </c>
      <c r="AA92" s="182">
        <f>+IF(Y92+[1]SADC!Y92-[1]SADC!Z92-Z92&gt;0,Y92+[1]SADC!Y92-[1]SADC!Z92-Z92,0)</f>
        <v>0</v>
      </c>
      <c r="AB92" s="182">
        <f>+IF(Z92+[1]SADC!Z92-[1]SADC!Y92-Y92&gt;0,Z92+[1]SADC!Z92-[1]SADC!Y92-Y92,0)</f>
        <v>0</v>
      </c>
      <c r="AC92" s="181"/>
      <c r="AD92" s="182">
        <f t="shared" si="1"/>
        <v>0</v>
      </c>
      <c r="AE92" s="182">
        <f t="shared" si="1"/>
        <v>0</v>
      </c>
      <c r="AF92" s="181"/>
    </row>
    <row r="93" spans="1:32">
      <c r="A93" s="181" t="str">
        <f>+VLOOKUP(B93,'[1]coa-mgb'!A$1:B$65536,2,0)</f>
        <v>Other Processing Fees</v>
      </c>
      <c r="B93" s="184" t="s">
        <v>114</v>
      </c>
      <c r="C93" s="182">
        <f>+SUMIFS('[1]40201130 99'!$F$1:$F$65536,'[1]40201130 99'!$D$1:$D$65536,"Beginning Balance",'[1]40201130 99'!$D$1:$D$65536,"Beginning Balance")</f>
        <v>0</v>
      </c>
      <c r="D93" s="182">
        <f>+SUMIFS('[1]40201130 99'!$H$1:$H$65536,'[1]40201130 99'!$D$1:$D$65536,"Beginning Balance",'[1]40201130 99'!$D$1:$D$65536,"Beginning Balance")</f>
        <v>0</v>
      </c>
      <c r="E93" s="182">
        <f>+IF(C93+[1]SADC!C93-[1]SADC!D93-D93&gt;0,C93+[1]SADC!C93-[1]SADC!D93-D93,0)</f>
        <v>0</v>
      </c>
      <c r="F93" s="182">
        <f>+IF(D93+[1]SADC!D93-[1]SADC!C93-C93&gt;0,D93+[1]SADC!D93-[1]SADC!C93-C93,0)</f>
        <v>0</v>
      </c>
      <c r="G93" s="182">
        <f>+IF(E93+[1]SADC!E93-[1]SADC!F93-F93&gt;0,E93+[1]SADC!E93-[1]SADC!F93-F93,0)</f>
        <v>0</v>
      </c>
      <c r="H93" s="182">
        <f>+IF(F93+[1]SADC!F93-[1]SADC!E93-E93&gt;0,F93+[1]SADC!F93-[1]SADC!E93-E93,0)</f>
        <v>0</v>
      </c>
      <c r="I93" s="182">
        <f>+IF(G93+[1]SADC!G93-[1]SADC!H93-H93&gt;0,G93+[1]SADC!G93-[1]SADC!H93-H93,0)</f>
        <v>0</v>
      </c>
      <c r="J93" s="182">
        <f>+IF(H93+[1]SADC!H93-[1]SADC!G93-G93&gt;0,H93+[1]SADC!H93-[1]SADC!G93-G93,0)</f>
        <v>0</v>
      </c>
      <c r="K93" s="182">
        <f>+IF(I93+[1]SADC!I93-[1]SADC!J93-J93&gt;0,I93+[1]SADC!I93-[1]SADC!J93-J93,0)</f>
        <v>0</v>
      </c>
      <c r="L93" s="182">
        <f>+IF(J93+[1]SADC!J93-[1]SADC!I93-I93&gt;0,J93+[1]SADC!J93-[1]SADC!I93-I93,0)</f>
        <v>0</v>
      </c>
      <c r="M93" s="182">
        <f>+IF(K93+[1]SADC!K93-[1]SADC!L93-L93&gt;0,K93+[1]SADC!K93-[1]SADC!L93-L93,0)</f>
        <v>0</v>
      </c>
      <c r="N93" s="182">
        <f>+IF(L93+[1]SADC!L93-[1]SADC!K93-K93&gt;0,L93+[1]SADC!L93-[1]SADC!K93-K93,0)</f>
        <v>0</v>
      </c>
      <c r="O93" s="182">
        <f>+IF(M93+[1]SADC!M93-[1]SADC!N93-N93&gt;0,M93+[1]SADC!M93-[1]SADC!N93-N93,0)</f>
        <v>0</v>
      </c>
      <c r="P93" s="182">
        <f>+IF(N93+[1]SADC!N93-[1]SADC!M93-M93&gt;0,N93+[1]SADC!N93-[1]SADC!M93-M93,0)</f>
        <v>0</v>
      </c>
      <c r="Q93" s="182">
        <f>+IF(O93+[1]SADC!O93-[1]SADC!P93-P93&gt;0,O93+[1]SADC!O93-[1]SADC!P93-P93,0)</f>
        <v>0</v>
      </c>
      <c r="R93" s="182">
        <f>+IF(P93+[1]SADC!P93-[1]SADC!O93-O93&gt;0,P93+[1]SADC!P93-[1]SADC!O93-O93,0)</f>
        <v>0</v>
      </c>
      <c r="S93" s="182">
        <f>+IF(Q93+[1]SADC!Q93-[1]SADC!R93-R93&gt;0,Q93+[1]SADC!Q93-[1]SADC!R93-R93,0)</f>
        <v>0</v>
      </c>
      <c r="T93" s="182">
        <f>+IF(R93+[1]SADC!R93-[1]SADC!Q93-Q93&gt;0,R93+[1]SADC!R93-[1]SADC!Q93-Q93,0)</f>
        <v>0</v>
      </c>
      <c r="U93" s="182">
        <f>+IF(S93+[1]SADC!S93-[1]SADC!T93-T93&gt;0,S93+[1]SADC!S93-[1]SADC!T93-T93,0)</f>
        <v>0</v>
      </c>
      <c r="V93" s="182">
        <f>+IF(T93+[1]SADC!T93-[1]SADC!S93-S93&gt;0,T93+[1]SADC!T93-[1]SADC!S93-S93,0)</f>
        <v>0</v>
      </c>
      <c r="W93" s="182">
        <f>+IF(U93+[1]SADC!U93-[1]SADC!V93-V93&gt;0,U93+[1]SADC!U93-[1]SADC!V93-V93,0)</f>
        <v>0</v>
      </c>
      <c r="X93" s="182">
        <f>+IF(V93+[1]SADC!V93-[1]SADC!U93-U93&gt;0,V93+[1]SADC!V93-[1]SADC!U93-U93,0)</f>
        <v>0</v>
      </c>
      <c r="Y93" s="182">
        <f>+IF(W93+[1]SADC!W93-[1]SADC!X93-X93&gt;0,W93+[1]SADC!W93-[1]SADC!X93-X93,0)</f>
        <v>0</v>
      </c>
      <c r="Z93" s="182">
        <f>+IF(X93+[1]SADC!X93-[1]SADC!W93-W93&gt;0,X93+[1]SADC!X93-[1]SADC!W93-W93,0)</f>
        <v>0</v>
      </c>
      <c r="AA93" s="182">
        <f>+IF(Y93+[1]SADC!Y93-[1]SADC!Z93-Z93&gt;0,Y93+[1]SADC!Y93-[1]SADC!Z93-Z93,0)</f>
        <v>0</v>
      </c>
      <c r="AB93" s="182">
        <f>+IF(Z93+[1]SADC!Z93-[1]SADC!Y93-Y93&gt;0,Z93+[1]SADC!Z93-[1]SADC!Y93-Y93,0)</f>
        <v>0</v>
      </c>
      <c r="AC93" s="181"/>
      <c r="AD93" s="182">
        <f t="shared" si="1"/>
        <v>0</v>
      </c>
      <c r="AE93" s="182">
        <f t="shared" si="1"/>
        <v>0</v>
      </c>
      <c r="AF93" s="181"/>
    </row>
    <row r="94" spans="1:32">
      <c r="A94" s="181" t="s">
        <v>678</v>
      </c>
      <c r="B94" s="184" t="s">
        <v>679</v>
      </c>
      <c r="C94" s="182">
        <f>+SUMIFS('[1]40609990 00'!$F$1:$F$65536,'[1]40609990 00'!$D$1:$D$65536,"Beginning Balance",'[1]40609990 00'!$D$1:$D$65536,"Beginning Balance")</f>
        <v>0</v>
      </c>
      <c r="D94" s="182">
        <f>+SUMIFS('[1]40609990 00'!$H$1:$H$65536,'[1]40609990 00'!$D$1:$D$65536,"Beginning Balance",'[1]40609990 00'!$D$1:$D$65536,"Beginning Balance")</f>
        <v>0</v>
      </c>
      <c r="E94" s="182">
        <f>+IF(C94+[1]SADC!C94-[1]SADC!D94-D94&gt;0,C94+[1]SADC!C94-[1]SADC!D94-D94,0)</f>
        <v>0</v>
      </c>
      <c r="F94" s="182">
        <f>+IF(D94+[1]SADC!D94-[1]SADC!C94-C94&gt;0,D94+[1]SADC!D94-[1]SADC!C94-C94,0)</f>
        <v>2000</v>
      </c>
      <c r="G94" s="182">
        <f>+IF(E94+[1]SADC!E94-[1]SADC!F94-F94&gt;0,E94+[1]SADC!E94-[1]SADC!F94-F94,0)</f>
        <v>0</v>
      </c>
      <c r="H94" s="182">
        <f>+IF(F94+[1]SADC!F94-[1]SADC!E94-E94&gt;0,F94+[1]SADC!F94-[1]SADC!E94-E94,0)</f>
        <v>2126</v>
      </c>
      <c r="I94" s="182">
        <f>+IF(G94+[1]SADC!G94-[1]SADC!H94-H94&gt;0,G94+[1]SADC!G94-[1]SADC!H94-H94,0)</f>
        <v>0</v>
      </c>
      <c r="J94" s="182">
        <f>+IF(H94+[1]SADC!H94-[1]SADC!G94-G94&gt;0,H94+[1]SADC!H94-[1]SADC!G94-G94,0)</f>
        <v>5126</v>
      </c>
      <c r="K94" s="182">
        <f>+IF(I94+[1]SADC!I94-[1]SADC!J94-J94&gt;0,I94+[1]SADC!I94-[1]SADC!J94-J94,0)</f>
        <v>0</v>
      </c>
      <c r="L94" s="182">
        <f>+IF(J94+[1]SADC!J94-[1]SADC!I94-I94&gt;0,J94+[1]SADC!J94-[1]SADC!I94-I94,0)</f>
        <v>5126</v>
      </c>
      <c r="M94" s="182">
        <f>+IF(K94+[1]SADC!K94-[1]SADC!L94-L94&gt;0,K94+[1]SADC!K94-[1]SADC!L94-L94,0)</f>
        <v>0</v>
      </c>
      <c r="N94" s="182">
        <f>+IF(L94+[1]SADC!L94-[1]SADC!K94-K94&gt;0,L94+[1]SADC!L94-[1]SADC!K94-K94,0)</f>
        <v>5126</v>
      </c>
      <c r="O94" s="182">
        <f>+IF(M94+[1]SADC!M94-[1]SADC!N94-N94&gt;0,M94+[1]SADC!M94-[1]SADC!N94-N94,0)</f>
        <v>0</v>
      </c>
      <c r="P94" s="182">
        <f>+IF(N94+[1]SADC!N94-[1]SADC!M94-M94&gt;0,N94+[1]SADC!N94-[1]SADC!M94-M94,0)</f>
        <v>5126</v>
      </c>
      <c r="Q94" s="182">
        <f>+IF(O94+[1]SADC!O94-[1]SADC!P94-P94&gt;0,O94+[1]SADC!O94-[1]SADC!P94-P94,0)</f>
        <v>0</v>
      </c>
      <c r="R94" s="182">
        <f>+IF(P94+[1]SADC!P94-[1]SADC!O94-O94&gt;0,P94+[1]SADC!P94-[1]SADC!O94-O94,0)</f>
        <v>5126</v>
      </c>
      <c r="S94" s="182">
        <f>+IF(Q94+[1]SADC!Q94-[1]SADC!R94-R94&gt;0,Q94+[1]SADC!Q94-[1]SADC!R94-R94,0)</f>
        <v>0</v>
      </c>
      <c r="T94" s="182">
        <f>+IF(R94+[1]SADC!R94-[1]SADC!Q94-Q94&gt;0,R94+[1]SADC!R94-[1]SADC!Q94-Q94,0)</f>
        <v>5126</v>
      </c>
      <c r="U94" s="182">
        <f>+IF(S94+[1]SADC!S94-[1]SADC!T94-T94&gt;0,S94+[1]SADC!S94-[1]SADC!T94-T94,0)</f>
        <v>0</v>
      </c>
      <c r="V94" s="182">
        <f>+IF(T94+[1]SADC!T94-[1]SADC!S94-S94&gt;0,T94+[1]SADC!T94-[1]SADC!S94-S94,0)</f>
        <v>5126</v>
      </c>
      <c r="W94" s="182">
        <f>+IF(U94+[1]SADC!U94-[1]SADC!V94-V94&gt;0,U94+[1]SADC!U94-[1]SADC!V94-V94,0)</f>
        <v>0</v>
      </c>
      <c r="X94" s="182">
        <f>+IF(V94+[1]SADC!V94-[1]SADC!U94-U94&gt;0,V94+[1]SADC!V94-[1]SADC!U94-U94,0)</f>
        <v>5126</v>
      </c>
      <c r="Y94" s="182">
        <f>+IF(W94+[1]SADC!W94-[1]SADC!X94-X94&gt;0,W94+[1]SADC!W94-[1]SADC!X94-X94,0)</f>
        <v>0</v>
      </c>
      <c r="Z94" s="182">
        <f>+IF(X94+[1]SADC!X94-[1]SADC!W94-W94&gt;0,X94+[1]SADC!X94-[1]SADC!W94-W94,0)</f>
        <v>5126</v>
      </c>
      <c r="AA94" s="182">
        <f>+IF(Y94+[1]SADC!Y94-[1]SADC!Z94-Z94&gt;0,Y94+[1]SADC!Y94-[1]SADC!Z94-Z94,0)</f>
        <v>0</v>
      </c>
      <c r="AB94" s="182">
        <f>+IF(Z94+[1]SADC!Z94-[1]SADC!Y94-Y94&gt;0,Z94+[1]SADC!Z94-[1]SADC!Y94-Y94,0)</f>
        <v>5126</v>
      </c>
      <c r="AC94" s="181"/>
      <c r="AD94" s="182">
        <f t="shared" si="1"/>
        <v>0</v>
      </c>
      <c r="AE94" s="182">
        <f t="shared" si="1"/>
        <v>5126</v>
      </c>
      <c r="AF94" s="181"/>
    </row>
    <row r="95" spans="1:32">
      <c r="A95" s="181" t="str">
        <f>+VLOOKUP(B95,'[1]coa-mgb'!A$1:B$65536,2,0)</f>
        <v>Other Service Income</v>
      </c>
      <c r="B95" s="184" t="s">
        <v>116</v>
      </c>
      <c r="C95" s="182">
        <f>+SUMIFS('[1]40201990 00'!$F$1:$F$65536,'[1]40201990 00'!$D$1:$D$65536,"Beginning Balance",'[1]40201990 00'!$D$1:$D$65536,"Beginning Balance")</f>
        <v>0</v>
      </c>
      <c r="D95" s="182">
        <f>+SUMIFS('[1]40201990 00'!$H$1:$H$65536,'[1]40201990 00'!$D$1:$D$65536,"Beginning Balance",'[1]40201990 00'!$D$1:$D$65536,"Beginning Balance")</f>
        <v>0</v>
      </c>
      <c r="E95" s="182">
        <f>+IF(C95+[1]SADC!C95-[1]SADC!D95-D95&gt;0,C95+[1]SADC!C95-[1]SADC!D95-D95,0)</f>
        <v>0</v>
      </c>
      <c r="F95" s="182">
        <f>+IF(D95+[1]SADC!D95-[1]SADC!C95-C95&gt;0,D95+[1]SADC!D95-[1]SADC!C95-C95,0)</f>
        <v>8705</v>
      </c>
      <c r="G95" s="182">
        <f>+IF(E95+[1]SADC!E95-[1]SADC!F95-F95&gt;0,E95+[1]SADC!E95-[1]SADC!F95-F95,0)</f>
        <v>0</v>
      </c>
      <c r="H95" s="182">
        <f>+IF(F95+[1]SADC!F95-[1]SADC!E95-E95&gt;0,F95+[1]SADC!F95-[1]SADC!E95-E95,0)</f>
        <v>36635</v>
      </c>
      <c r="I95" s="182">
        <f>+IF(G95+[1]SADC!G95-[1]SADC!H95-H95&gt;0,G95+[1]SADC!G95-[1]SADC!H95-H95,0)</f>
        <v>0</v>
      </c>
      <c r="J95" s="182">
        <f>+IF(H95+[1]SADC!H95-[1]SADC!G95-G95&gt;0,H95+[1]SADC!H95-[1]SADC!G95-G95,0)</f>
        <v>55945</v>
      </c>
      <c r="K95" s="182">
        <f>+IF(I95+[1]SADC!I95-[1]SADC!J95-J95&gt;0,I95+[1]SADC!I95-[1]SADC!J95-J95,0)</f>
        <v>0</v>
      </c>
      <c r="L95" s="182">
        <f>+IF(J95+[1]SADC!J95-[1]SADC!I95-I95&gt;0,J95+[1]SADC!J95-[1]SADC!I95-I95,0)</f>
        <v>55945</v>
      </c>
      <c r="M95" s="182">
        <f>+IF(K95+[1]SADC!K95-[1]SADC!L95-L95&gt;0,K95+[1]SADC!K95-[1]SADC!L95-L95,0)</f>
        <v>0</v>
      </c>
      <c r="N95" s="182">
        <f>+IF(L95+[1]SADC!L95-[1]SADC!K95-K95&gt;0,L95+[1]SADC!L95-[1]SADC!K95-K95,0)</f>
        <v>55945</v>
      </c>
      <c r="O95" s="182">
        <f>+IF(M95+[1]SADC!M95-[1]SADC!N95-N95&gt;0,M95+[1]SADC!M95-[1]SADC!N95-N95,0)</f>
        <v>0</v>
      </c>
      <c r="P95" s="182">
        <f>+IF(N95+[1]SADC!N95-[1]SADC!M95-M95&gt;0,N95+[1]SADC!N95-[1]SADC!M95-M95,0)</f>
        <v>55945</v>
      </c>
      <c r="Q95" s="182">
        <f>+IF(O95+[1]SADC!O95-[1]SADC!P95-P95&gt;0,O95+[1]SADC!O95-[1]SADC!P95-P95,0)</f>
        <v>0</v>
      </c>
      <c r="R95" s="182">
        <f>+IF(P95+[1]SADC!P95-[1]SADC!O95-O95&gt;0,P95+[1]SADC!P95-[1]SADC!O95-O95,0)</f>
        <v>55945</v>
      </c>
      <c r="S95" s="182">
        <f>+IF(Q95+[1]SADC!Q95-[1]SADC!R95-R95&gt;0,Q95+[1]SADC!Q95-[1]SADC!R95-R95,0)</f>
        <v>0</v>
      </c>
      <c r="T95" s="182">
        <f>+IF(R95+[1]SADC!R95-[1]SADC!Q95-Q95&gt;0,R95+[1]SADC!R95-[1]SADC!Q95-Q95,0)</f>
        <v>55945</v>
      </c>
      <c r="U95" s="182">
        <f>+IF(S95+[1]SADC!S95-[1]SADC!T95-T95&gt;0,S95+[1]SADC!S95-[1]SADC!T95-T95,0)</f>
        <v>0</v>
      </c>
      <c r="V95" s="182">
        <f>+IF(T95+[1]SADC!T95-[1]SADC!S95-S95&gt;0,T95+[1]SADC!T95-[1]SADC!S95-S95,0)</f>
        <v>55945</v>
      </c>
      <c r="W95" s="182">
        <f>+IF(U95+[1]SADC!U95-[1]SADC!V95-V95&gt;0,U95+[1]SADC!U95-[1]SADC!V95-V95,0)</f>
        <v>0</v>
      </c>
      <c r="X95" s="182">
        <f>+IF(V95+[1]SADC!V95-[1]SADC!U95-U95&gt;0,V95+[1]SADC!V95-[1]SADC!U95-U95,0)</f>
        <v>55945</v>
      </c>
      <c r="Y95" s="182">
        <f>+IF(W95+[1]SADC!W95-[1]SADC!X95-X95&gt;0,W95+[1]SADC!W95-[1]SADC!X95-X95,0)</f>
        <v>0</v>
      </c>
      <c r="Z95" s="182">
        <f>+IF(X95+[1]SADC!X95-[1]SADC!W95-W95&gt;0,X95+[1]SADC!X95-[1]SADC!W95-W95,0)</f>
        <v>55945</v>
      </c>
      <c r="AA95" s="182">
        <f>+IF(Y95+[1]SADC!Y95-[1]SADC!Z95-Z95&gt;0,Y95+[1]SADC!Y95-[1]SADC!Z95-Z95,0)</f>
        <v>0</v>
      </c>
      <c r="AB95" s="182">
        <f>+IF(Z95+[1]SADC!Z95-[1]SADC!Y95-Y95&gt;0,Z95+[1]SADC!Z95-[1]SADC!Y95-Y95,0)</f>
        <v>55945</v>
      </c>
      <c r="AC95" s="181"/>
      <c r="AD95" s="182">
        <f t="shared" si="1"/>
        <v>0</v>
      </c>
      <c r="AE95" s="182">
        <f t="shared" si="1"/>
        <v>55945</v>
      </c>
      <c r="AF95" s="181"/>
    </row>
    <row r="96" spans="1:32">
      <c r="A96" s="181" t="str">
        <f>+VLOOKUP(B96,'[1]coa-mgb'!A$1:B$65536,2,0)</f>
        <v>Other Geological and Energy Data</v>
      </c>
      <c r="B96" s="184" t="s">
        <v>117</v>
      </c>
      <c r="C96" s="182">
        <f>+SUMIFS('[1]40201990 06'!$F$1:$F$65536,'[1]40201990 06'!$D$1:$D$65536,"Beginning Balance",'[1]40201990 06'!$D$1:$D$65536,"Beginning Balance")</f>
        <v>0</v>
      </c>
      <c r="D96" s="182">
        <f>+SUMIFS('[1]40201990 06'!$H$1:$H$65536,'[1]40201990 06'!$D$1:$D$65536,"Beginning Balance",'[1]40201990 06'!$D$1:$D$65536,"Beginning Balance")</f>
        <v>0</v>
      </c>
      <c r="E96" s="182">
        <f>+IF(C96+[1]SADC!C96-[1]SADC!D96-D96&gt;0,C96+[1]SADC!C96-[1]SADC!D96-D96,0)</f>
        <v>0</v>
      </c>
      <c r="F96" s="182">
        <f>+IF(D96+[1]SADC!D96-[1]SADC!C96-C96&gt;0,D96+[1]SADC!D96-[1]SADC!C96-C96,0)</f>
        <v>0</v>
      </c>
      <c r="G96" s="182">
        <f>+IF(E96+[1]SADC!E96-[1]SADC!F96-F96&gt;0,E96+[1]SADC!E96-[1]SADC!F96-F96,0)</f>
        <v>0</v>
      </c>
      <c r="H96" s="182">
        <f>+IF(F96+[1]SADC!F96-[1]SADC!E96-E96&gt;0,F96+[1]SADC!F96-[1]SADC!E96-E96,0)</f>
        <v>0</v>
      </c>
      <c r="I96" s="182">
        <f>+IF(G96+[1]SADC!G96-[1]SADC!H96-H96&gt;0,G96+[1]SADC!G96-[1]SADC!H96-H96,0)</f>
        <v>0</v>
      </c>
      <c r="J96" s="182">
        <f>+IF(H96+[1]SADC!H96-[1]SADC!G96-G96&gt;0,H96+[1]SADC!H96-[1]SADC!G96-G96,0)</f>
        <v>0</v>
      </c>
      <c r="K96" s="182">
        <f>+IF(I96+[1]SADC!I96-[1]SADC!J96-J96&gt;0,I96+[1]SADC!I96-[1]SADC!J96-J96,0)</f>
        <v>0</v>
      </c>
      <c r="L96" s="182">
        <f>+IF(J96+[1]SADC!J96-[1]SADC!I96-I96&gt;0,J96+[1]SADC!J96-[1]SADC!I96-I96,0)</f>
        <v>0</v>
      </c>
      <c r="M96" s="182">
        <f>+IF(K96+[1]SADC!K96-[1]SADC!L96-L96&gt;0,K96+[1]SADC!K96-[1]SADC!L96-L96,0)</f>
        <v>0</v>
      </c>
      <c r="N96" s="182">
        <f>+IF(L96+[1]SADC!L96-[1]SADC!K96-K96&gt;0,L96+[1]SADC!L96-[1]SADC!K96-K96,0)</f>
        <v>0</v>
      </c>
      <c r="O96" s="182">
        <f>+IF(M96+[1]SADC!M96-[1]SADC!N96-N96&gt;0,M96+[1]SADC!M96-[1]SADC!N96-N96,0)</f>
        <v>0</v>
      </c>
      <c r="P96" s="182">
        <f>+IF(N96+[1]SADC!N96-[1]SADC!M96-M96&gt;0,N96+[1]SADC!N96-[1]SADC!M96-M96,0)</f>
        <v>0</v>
      </c>
      <c r="Q96" s="182">
        <f>+IF(O96+[1]SADC!O96-[1]SADC!P96-P96&gt;0,O96+[1]SADC!O96-[1]SADC!P96-P96,0)</f>
        <v>0</v>
      </c>
      <c r="R96" s="182">
        <f>+IF(P96+[1]SADC!P96-[1]SADC!O96-O96&gt;0,P96+[1]SADC!P96-[1]SADC!O96-O96,0)</f>
        <v>0</v>
      </c>
      <c r="S96" s="182">
        <f>+IF(Q96+[1]SADC!Q96-[1]SADC!R96-R96&gt;0,Q96+[1]SADC!Q96-[1]SADC!R96-R96,0)</f>
        <v>0</v>
      </c>
      <c r="T96" s="182">
        <f>+IF(R96+[1]SADC!R96-[1]SADC!Q96-Q96&gt;0,R96+[1]SADC!R96-[1]SADC!Q96-Q96,0)</f>
        <v>0</v>
      </c>
      <c r="U96" s="182">
        <f>+IF(S96+[1]SADC!S96-[1]SADC!T96-T96&gt;0,S96+[1]SADC!S96-[1]SADC!T96-T96,0)</f>
        <v>0</v>
      </c>
      <c r="V96" s="182">
        <f>+IF(T96+[1]SADC!T96-[1]SADC!S96-S96&gt;0,T96+[1]SADC!T96-[1]SADC!S96-S96,0)</f>
        <v>0</v>
      </c>
      <c r="W96" s="182">
        <f>+IF(U96+[1]SADC!U96-[1]SADC!V96-V96&gt;0,U96+[1]SADC!U96-[1]SADC!V96-V96,0)</f>
        <v>0</v>
      </c>
      <c r="X96" s="182">
        <f>+IF(V96+[1]SADC!V96-[1]SADC!U96-U96&gt;0,V96+[1]SADC!V96-[1]SADC!U96-U96,0)</f>
        <v>0</v>
      </c>
      <c r="Y96" s="182">
        <f>+IF(W96+[1]SADC!W96-[1]SADC!X96-X96&gt;0,W96+[1]SADC!W96-[1]SADC!X96-X96,0)</f>
        <v>0</v>
      </c>
      <c r="Z96" s="182">
        <f>+IF(X96+[1]SADC!X96-[1]SADC!W96-W96&gt;0,X96+[1]SADC!X96-[1]SADC!W96-W96,0)</f>
        <v>0</v>
      </c>
      <c r="AA96" s="182">
        <f>+IF(Y96+[1]SADC!Y96-[1]SADC!Z96-Z96&gt;0,Y96+[1]SADC!Y96-[1]SADC!Z96-Z96,0)</f>
        <v>0</v>
      </c>
      <c r="AB96" s="182">
        <f>+IF(Z96+[1]SADC!Z96-[1]SADC!Y96-Y96&gt;0,Z96+[1]SADC!Z96-[1]SADC!Y96-Y96,0)</f>
        <v>0</v>
      </c>
      <c r="AC96" s="181"/>
      <c r="AD96" s="182">
        <f t="shared" si="1"/>
        <v>0</v>
      </c>
      <c r="AE96" s="182">
        <f t="shared" si="1"/>
        <v>0</v>
      </c>
      <c r="AF96" s="181"/>
    </row>
    <row r="97" spans="1:32">
      <c r="A97" s="181" t="str">
        <f>+VLOOKUP(B97,'[1]coa-mgb'!A$1:B$65536,2,0)</f>
        <v>Seminar/Training Fees</v>
      </c>
      <c r="B97" s="184" t="s">
        <v>118</v>
      </c>
      <c r="C97" s="182">
        <f>+SUMIFS('[1]40202040 00'!$F$1:$F$65536,'[1]40202040 00'!$D$1:$D$65536,"Beginning Balance",'[1]40202040 00'!$D$1:$D$65536,"Beginning Balance")</f>
        <v>0</v>
      </c>
      <c r="D97" s="182">
        <f>+SUMIFS('[1]40202040 00'!$H$1:$H$65536,'[1]40202040 00'!$D$1:$D$65536,"Beginning Balance",'[1]40202040 00'!$D$1:$D$65536,"Beginning Balance")</f>
        <v>0</v>
      </c>
      <c r="E97" s="182">
        <f>+IF(C97+[1]SADC!C97-[1]SADC!D97-D97&gt;0,C97+[1]SADC!C97-[1]SADC!D97-D97,0)</f>
        <v>0</v>
      </c>
      <c r="F97" s="182">
        <f>+IF(D97+[1]SADC!D97-[1]SADC!C97-C97&gt;0,D97+[1]SADC!D97-[1]SADC!C97-C97,0)</f>
        <v>0</v>
      </c>
      <c r="G97" s="182">
        <f>+IF(E97+[1]SADC!E97-[1]SADC!F97-F97&gt;0,E97+[1]SADC!E97-[1]SADC!F97-F97,0)</f>
        <v>0</v>
      </c>
      <c r="H97" s="182">
        <f>+IF(F97+[1]SADC!F97-[1]SADC!E97-E97&gt;0,F97+[1]SADC!F97-[1]SADC!E97-E97,0)</f>
        <v>0</v>
      </c>
      <c r="I97" s="182">
        <f>+IF(G97+[1]SADC!G97-[1]SADC!H97-H97&gt;0,G97+[1]SADC!G97-[1]SADC!H97-H97,0)</f>
        <v>0</v>
      </c>
      <c r="J97" s="182">
        <f>+IF(H97+[1]SADC!H97-[1]SADC!G97-G97&gt;0,H97+[1]SADC!H97-[1]SADC!G97-G97,0)</f>
        <v>0</v>
      </c>
      <c r="K97" s="182">
        <f>+IF(I97+[1]SADC!I97-[1]SADC!J97-J97&gt;0,I97+[1]SADC!I97-[1]SADC!J97-J97,0)</f>
        <v>0</v>
      </c>
      <c r="L97" s="182">
        <f>+IF(J97+[1]SADC!J97-[1]SADC!I97-I97&gt;0,J97+[1]SADC!J97-[1]SADC!I97-I97,0)</f>
        <v>0</v>
      </c>
      <c r="M97" s="182">
        <f>+IF(K97+[1]SADC!K97-[1]SADC!L97-L97&gt;0,K97+[1]SADC!K97-[1]SADC!L97-L97,0)</f>
        <v>0</v>
      </c>
      <c r="N97" s="182">
        <f>+IF(L97+[1]SADC!L97-[1]SADC!K97-K97&gt;0,L97+[1]SADC!L97-[1]SADC!K97-K97,0)</f>
        <v>0</v>
      </c>
      <c r="O97" s="182">
        <f>+IF(M97+[1]SADC!M97-[1]SADC!N97-N97&gt;0,M97+[1]SADC!M97-[1]SADC!N97-N97,0)</f>
        <v>0</v>
      </c>
      <c r="P97" s="182">
        <f>+IF(N97+[1]SADC!N97-[1]SADC!M97-M97&gt;0,N97+[1]SADC!N97-[1]SADC!M97-M97,0)</f>
        <v>0</v>
      </c>
      <c r="Q97" s="182">
        <f>+IF(O97+[1]SADC!O97-[1]SADC!P97-P97&gt;0,O97+[1]SADC!O97-[1]SADC!P97-P97,0)</f>
        <v>0</v>
      </c>
      <c r="R97" s="182">
        <f>+IF(P97+[1]SADC!P97-[1]SADC!O97-O97&gt;0,P97+[1]SADC!P97-[1]SADC!O97-O97,0)</f>
        <v>0</v>
      </c>
      <c r="S97" s="182">
        <f>+IF(Q97+[1]SADC!Q97-[1]SADC!R97-R97&gt;0,Q97+[1]SADC!Q97-[1]SADC!R97-R97,0)</f>
        <v>0</v>
      </c>
      <c r="T97" s="182">
        <f>+IF(R97+[1]SADC!R97-[1]SADC!Q97-Q97&gt;0,R97+[1]SADC!R97-[1]SADC!Q97-Q97,0)</f>
        <v>0</v>
      </c>
      <c r="U97" s="182">
        <f>+IF(S97+[1]SADC!S97-[1]SADC!T97-T97&gt;0,S97+[1]SADC!S97-[1]SADC!T97-T97,0)</f>
        <v>0</v>
      </c>
      <c r="V97" s="182">
        <f>+IF(T97+[1]SADC!T97-[1]SADC!S97-S97&gt;0,T97+[1]SADC!T97-[1]SADC!S97-S97,0)</f>
        <v>0</v>
      </c>
      <c r="W97" s="182">
        <f>+IF(U97+[1]SADC!U97-[1]SADC!V97-V97&gt;0,U97+[1]SADC!U97-[1]SADC!V97-V97,0)</f>
        <v>0</v>
      </c>
      <c r="X97" s="182">
        <f>+IF(V97+[1]SADC!V97-[1]SADC!U97-U97&gt;0,V97+[1]SADC!V97-[1]SADC!U97-U97,0)</f>
        <v>0</v>
      </c>
      <c r="Y97" s="182">
        <f>+IF(W97+[1]SADC!W97-[1]SADC!X97-X97&gt;0,W97+[1]SADC!W97-[1]SADC!X97-X97,0)</f>
        <v>0</v>
      </c>
      <c r="Z97" s="182">
        <f>+IF(X97+[1]SADC!X97-[1]SADC!W97-W97&gt;0,X97+[1]SADC!X97-[1]SADC!W97-W97,0)</f>
        <v>0</v>
      </c>
      <c r="AA97" s="182">
        <f>+IF(Y97+[1]SADC!Y97-[1]SADC!Z97-Z97&gt;0,Y97+[1]SADC!Y97-[1]SADC!Z97-Z97,0)</f>
        <v>0</v>
      </c>
      <c r="AB97" s="182">
        <f>+IF(Z97+[1]SADC!Z97-[1]SADC!Y97-Y97&gt;0,Z97+[1]SADC!Z97-[1]SADC!Y97-Y97,0)</f>
        <v>0</v>
      </c>
      <c r="AC97" s="181"/>
      <c r="AD97" s="182">
        <f t="shared" si="1"/>
        <v>0</v>
      </c>
      <c r="AE97" s="182">
        <f t="shared" si="1"/>
        <v>0</v>
      </c>
      <c r="AF97" s="181"/>
    </row>
    <row r="98" spans="1:32">
      <c r="A98" s="181" t="str">
        <f>+VLOOKUP(B98,'[1]coa-mgb'!A$1:B$65536,2,0)</f>
        <v xml:space="preserve">Income from Printing and Publication </v>
      </c>
      <c r="B98" s="184" t="s">
        <v>120</v>
      </c>
      <c r="C98" s="182">
        <f>+SUMIFS('[1]40202150 00'!$F$1:$F$65536,'[1]40202150 00'!$D$1:$D$65536,"Beginning Balance",'[1]40202150 00'!$D$1:$D$65536,"Beginning Balance")</f>
        <v>0</v>
      </c>
      <c r="D98" s="182">
        <f>+SUMIFS('[1]40202150 00'!$H$1:$H$65536,'[1]40202150 00'!$D$1:$D$65536,"Beginning Balance",'[1]40202150 00'!$D$1:$D$65536,"Beginning Balance")</f>
        <v>0</v>
      </c>
      <c r="E98" s="182">
        <f>+IF(C98+[1]SADC!C98-[1]SADC!D98-D98&gt;0,C98+[1]SADC!C98-[1]SADC!D98-D98,0)</f>
        <v>0</v>
      </c>
      <c r="F98" s="182">
        <f>+IF(D98+[1]SADC!D98-[1]SADC!C98-C98&gt;0,D98+[1]SADC!D98-[1]SADC!C98-C98,0)</f>
        <v>0</v>
      </c>
      <c r="G98" s="182">
        <f>+IF(E98+[1]SADC!E98-[1]SADC!F98-F98&gt;0,E98+[1]SADC!E98-[1]SADC!F98-F98,0)</f>
        <v>0</v>
      </c>
      <c r="H98" s="182">
        <f>+IF(F98+[1]SADC!F98-[1]SADC!E98-E98&gt;0,F98+[1]SADC!F98-[1]SADC!E98-E98,0)</f>
        <v>0</v>
      </c>
      <c r="I98" s="182">
        <f>+IF(G98+[1]SADC!G98-[1]SADC!H98-H98&gt;0,G98+[1]SADC!G98-[1]SADC!H98-H98,0)</f>
        <v>0</v>
      </c>
      <c r="J98" s="182">
        <f>+IF(H98+[1]SADC!H98-[1]SADC!G98-G98&gt;0,H98+[1]SADC!H98-[1]SADC!G98-G98,0)</f>
        <v>0</v>
      </c>
      <c r="K98" s="182">
        <f>+IF(I98+[1]SADC!I98-[1]SADC!J98-J98&gt;0,I98+[1]SADC!I98-[1]SADC!J98-J98,0)</f>
        <v>0</v>
      </c>
      <c r="L98" s="182">
        <f>+IF(J98+[1]SADC!J98-[1]SADC!I98-I98&gt;0,J98+[1]SADC!J98-[1]SADC!I98-I98,0)</f>
        <v>0</v>
      </c>
      <c r="M98" s="182">
        <f>+IF(K98+[1]SADC!K98-[1]SADC!L98-L98&gt;0,K98+[1]SADC!K98-[1]SADC!L98-L98,0)</f>
        <v>0</v>
      </c>
      <c r="N98" s="182">
        <f>+IF(L98+[1]SADC!L98-[1]SADC!K98-K98&gt;0,L98+[1]SADC!L98-[1]SADC!K98-K98,0)</f>
        <v>0</v>
      </c>
      <c r="O98" s="182">
        <f>+IF(M98+[1]SADC!M98-[1]SADC!N98-N98&gt;0,M98+[1]SADC!M98-[1]SADC!N98-N98,0)</f>
        <v>0</v>
      </c>
      <c r="P98" s="182">
        <f>+IF(N98+[1]SADC!N98-[1]SADC!M98-M98&gt;0,N98+[1]SADC!N98-[1]SADC!M98-M98,0)</f>
        <v>0</v>
      </c>
      <c r="Q98" s="182">
        <f>+IF(O98+[1]SADC!O98-[1]SADC!P98-P98&gt;0,O98+[1]SADC!O98-[1]SADC!P98-P98,0)</f>
        <v>0</v>
      </c>
      <c r="R98" s="182">
        <f>+IF(P98+[1]SADC!P98-[1]SADC!O98-O98&gt;0,P98+[1]SADC!P98-[1]SADC!O98-O98,0)</f>
        <v>0</v>
      </c>
      <c r="S98" s="182">
        <f>+IF(Q98+[1]SADC!Q98-[1]SADC!R98-R98&gt;0,Q98+[1]SADC!Q98-[1]SADC!R98-R98,0)</f>
        <v>0</v>
      </c>
      <c r="T98" s="182">
        <f>+IF(R98+[1]SADC!R98-[1]SADC!Q98-Q98&gt;0,R98+[1]SADC!R98-[1]SADC!Q98-Q98,0)</f>
        <v>0</v>
      </c>
      <c r="U98" s="182">
        <f>+IF(S98+[1]SADC!S98-[1]SADC!T98-T98&gt;0,S98+[1]SADC!S98-[1]SADC!T98-T98,0)</f>
        <v>0</v>
      </c>
      <c r="V98" s="182">
        <f>+IF(T98+[1]SADC!T98-[1]SADC!S98-S98&gt;0,T98+[1]SADC!T98-[1]SADC!S98-S98,0)</f>
        <v>0</v>
      </c>
      <c r="W98" s="182">
        <f>+IF(U98+[1]SADC!U98-[1]SADC!V98-V98&gt;0,U98+[1]SADC!U98-[1]SADC!V98-V98,0)</f>
        <v>0</v>
      </c>
      <c r="X98" s="182">
        <f>+IF(V98+[1]SADC!V98-[1]SADC!U98-U98&gt;0,V98+[1]SADC!V98-[1]SADC!U98-U98,0)</f>
        <v>0</v>
      </c>
      <c r="Y98" s="182">
        <f>+IF(W98+[1]SADC!W98-[1]SADC!X98-X98&gt;0,W98+[1]SADC!W98-[1]SADC!X98-X98,0)</f>
        <v>0</v>
      </c>
      <c r="Z98" s="182">
        <f>+IF(X98+[1]SADC!X98-[1]SADC!W98-W98&gt;0,X98+[1]SADC!X98-[1]SADC!W98-W98,0)</f>
        <v>0</v>
      </c>
      <c r="AA98" s="182">
        <f>+IF(Y98+[1]SADC!Y98-[1]SADC!Z98-Z98&gt;0,Y98+[1]SADC!Y98-[1]SADC!Z98-Z98,0)</f>
        <v>0</v>
      </c>
      <c r="AB98" s="182">
        <f>+IF(Z98+[1]SADC!Z98-[1]SADC!Y98-Y98&gt;0,Z98+[1]SADC!Z98-[1]SADC!Y98-Y98,0)</f>
        <v>0</v>
      </c>
      <c r="AC98" s="181"/>
      <c r="AD98" s="182">
        <f t="shared" si="1"/>
        <v>0</v>
      </c>
      <c r="AE98" s="182">
        <f t="shared" si="1"/>
        <v>0</v>
      </c>
      <c r="AF98" s="181"/>
    </row>
    <row r="99" spans="1:32">
      <c r="A99" s="181" t="str">
        <f>+VLOOKUP(B99,'[1]coa-mgb'!A$1:B$65536,2,0)</f>
        <v>Other Sales</v>
      </c>
      <c r="B99" s="184" t="s">
        <v>121</v>
      </c>
      <c r="C99" s="182">
        <f>+SUMIFS('[1]40202160 00'!$F$1:$F$65536,'[1]40202160 00'!$D$1:$D$65536,"Beginning Balance",'[1]40202160 00'!$D$1:$D$65536,"Beginning Balance")</f>
        <v>0</v>
      </c>
      <c r="D99" s="182">
        <f>+SUMIFS('[1]40202160 00'!$H$1:$H$65536,'[1]40202160 00'!$D$1:$D$65536,"Beginning Balance",'[1]40202160 00'!$D$1:$D$65536,"Beginning Balance")</f>
        <v>0</v>
      </c>
      <c r="E99" s="182">
        <f>+IF(C99+[1]SADC!C99-[1]SADC!D99-D99&gt;0,C99+[1]SADC!C99-[1]SADC!D99-D99,0)</f>
        <v>0</v>
      </c>
      <c r="F99" s="182">
        <f>+IF(D99+[1]SADC!D99-[1]SADC!C99-C99&gt;0,D99+[1]SADC!D99-[1]SADC!C99-C99,0)</f>
        <v>0</v>
      </c>
      <c r="G99" s="182">
        <f>+IF(E99+[1]SADC!E99-[1]SADC!F99-F99&gt;0,E99+[1]SADC!E99-[1]SADC!F99-F99,0)</f>
        <v>0</v>
      </c>
      <c r="H99" s="182">
        <f>+IF(F99+[1]SADC!F99-[1]SADC!E99-E99&gt;0,F99+[1]SADC!F99-[1]SADC!E99-E99,0)</f>
        <v>0</v>
      </c>
      <c r="I99" s="182">
        <f>+IF(G99+[1]SADC!G99-[1]SADC!H99-H99&gt;0,G99+[1]SADC!G99-[1]SADC!H99-H99,0)</f>
        <v>0</v>
      </c>
      <c r="J99" s="182">
        <f>+IF(H99+[1]SADC!H99-[1]SADC!G99-G99&gt;0,H99+[1]SADC!H99-[1]SADC!G99-G99,0)</f>
        <v>0</v>
      </c>
      <c r="K99" s="182">
        <f>+IF(I99+[1]SADC!I99-[1]SADC!J99-J99&gt;0,I99+[1]SADC!I99-[1]SADC!J99-J99,0)</f>
        <v>0</v>
      </c>
      <c r="L99" s="182">
        <f>+IF(J99+[1]SADC!J99-[1]SADC!I99-I99&gt;0,J99+[1]SADC!J99-[1]SADC!I99-I99,0)</f>
        <v>0</v>
      </c>
      <c r="M99" s="182">
        <f>+IF(K99+[1]SADC!K99-[1]SADC!L99-L99&gt;0,K99+[1]SADC!K99-[1]SADC!L99-L99,0)</f>
        <v>0</v>
      </c>
      <c r="N99" s="182">
        <f>+IF(L99+[1]SADC!L99-[1]SADC!K99-K99&gt;0,L99+[1]SADC!L99-[1]SADC!K99-K99,0)</f>
        <v>0</v>
      </c>
      <c r="O99" s="182">
        <f>+IF(M99+[1]SADC!M99-[1]SADC!N99-N99&gt;0,M99+[1]SADC!M99-[1]SADC!N99-N99,0)</f>
        <v>0</v>
      </c>
      <c r="P99" s="182">
        <f>+IF(N99+[1]SADC!N99-[1]SADC!M99-M99&gt;0,N99+[1]SADC!N99-[1]SADC!M99-M99,0)</f>
        <v>0</v>
      </c>
      <c r="Q99" s="182">
        <f>+IF(O99+[1]SADC!O99-[1]SADC!P99-P99&gt;0,O99+[1]SADC!O99-[1]SADC!P99-P99,0)</f>
        <v>0</v>
      </c>
      <c r="R99" s="182">
        <f>+IF(P99+[1]SADC!P99-[1]SADC!O99-O99&gt;0,P99+[1]SADC!P99-[1]SADC!O99-O99,0)</f>
        <v>0</v>
      </c>
      <c r="S99" s="182">
        <f>+IF(Q99+[1]SADC!Q99-[1]SADC!R99-R99&gt;0,Q99+[1]SADC!Q99-[1]SADC!R99-R99,0)</f>
        <v>0</v>
      </c>
      <c r="T99" s="182">
        <f>+IF(R99+[1]SADC!R99-[1]SADC!Q99-Q99&gt;0,R99+[1]SADC!R99-[1]SADC!Q99-Q99,0)</f>
        <v>0</v>
      </c>
      <c r="U99" s="182">
        <f>+IF(S99+[1]SADC!S99-[1]SADC!T99-T99&gt;0,S99+[1]SADC!S99-[1]SADC!T99-T99,0)</f>
        <v>0</v>
      </c>
      <c r="V99" s="182">
        <f>+IF(T99+[1]SADC!T99-[1]SADC!S99-S99&gt;0,T99+[1]SADC!T99-[1]SADC!S99-S99,0)</f>
        <v>0</v>
      </c>
      <c r="W99" s="182">
        <f>+IF(U99+[1]SADC!U99-[1]SADC!V99-V99&gt;0,U99+[1]SADC!U99-[1]SADC!V99-V99,0)</f>
        <v>0</v>
      </c>
      <c r="X99" s="182">
        <f>+IF(V99+[1]SADC!V99-[1]SADC!U99-U99&gt;0,V99+[1]SADC!V99-[1]SADC!U99-U99,0)</f>
        <v>0</v>
      </c>
      <c r="Y99" s="182">
        <f>+IF(W99+[1]SADC!W99-[1]SADC!X99-X99&gt;0,W99+[1]SADC!W99-[1]SADC!X99-X99,0)</f>
        <v>0</v>
      </c>
      <c r="Z99" s="182">
        <f>+IF(X99+[1]SADC!X99-[1]SADC!W99-W99&gt;0,X99+[1]SADC!X99-[1]SADC!W99-W99,0)</f>
        <v>0</v>
      </c>
      <c r="AA99" s="182">
        <f>+IF(Y99+[1]SADC!Y99-[1]SADC!Z99-Z99&gt;0,Y99+[1]SADC!Y99-[1]SADC!Z99-Z99,0)</f>
        <v>0</v>
      </c>
      <c r="AB99" s="182">
        <f>+IF(Z99+[1]SADC!Z99-[1]SADC!Y99-Y99&gt;0,Z99+[1]SADC!Z99-[1]SADC!Y99-Y99,0)</f>
        <v>0</v>
      </c>
      <c r="AC99" s="181"/>
      <c r="AD99" s="182">
        <f t="shared" si="1"/>
        <v>0</v>
      </c>
      <c r="AE99" s="182">
        <f t="shared" si="1"/>
        <v>0</v>
      </c>
      <c r="AF99" s="181"/>
    </row>
    <row r="100" spans="1:32">
      <c r="A100" s="181" t="str">
        <f>+VLOOKUP(B100,'[1]coa-mgb'!A$1:B$65536,2,0)</f>
        <v>Interest Income</v>
      </c>
      <c r="B100" s="184" t="s">
        <v>122</v>
      </c>
      <c r="C100" s="182">
        <f>+SUMIFS('[1]40202210 00'!$F$1:$F$65536,'[1]40202210 00'!$D$1:$D$65536,"Beginning Balance",'[1]40202210 00'!$D$1:$D$65536,"Beginning Balance")</f>
        <v>0</v>
      </c>
      <c r="D100" s="182">
        <f>+SUMIFS('[1]40202210 00'!$H$1:$H$65536,'[1]40202210 00'!$D$1:$D$65536,"Beginning Balance",'[1]40202210 00'!$D$1:$D$65536,"Beginning Balance")</f>
        <v>0</v>
      </c>
      <c r="E100" s="182">
        <f>+IF(C100+[1]SADC!C100-[1]SADC!D100-D100&gt;0,C100+[1]SADC!C100-[1]SADC!D100-D100,0)</f>
        <v>0</v>
      </c>
      <c r="F100" s="182">
        <f>+IF(D100+[1]SADC!D100-[1]SADC!C100-C100&gt;0,D100+[1]SADC!D100-[1]SADC!C100-C100,0)</f>
        <v>0</v>
      </c>
      <c r="G100" s="182">
        <f>+IF(E100+[1]SADC!E100-[1]SADC!F100-F100&gt;0,E100+[1]SADC!E100-[1]SADC!F100-F100,0)</f>
        <v>0</v>
      </c>
      <c r="H100" s="182">
        <f>+IF(F100+[1]SADC!F100-[1]SADC!E100-E100&gt;0,F100+[1]SADC!F100-[1]SADC!E100-E100,0)</f>
        <v>0</v>
      </c>
      <c r="I100" s="182">
        <f>+IF(G100+[1]SADC!G100-[1]SADC!H100-H100&gt;0,G100+[1]SADC!G100-[1]SADC!H100-H100,0)</f>
        <v>0</v>
      </c>
      <c r="J100" s="182">
        <f>+IF(H100+[1]SADC!H100-[1]SADC!G100-G100&gt;0,H100+[1]SADC!H100-[1]SADC!G100-G100,0)</f>
        <v>0</v>
      </c>
      <c r="K100" s="182">
        <f>+IF(I100+[1]SADC!I100-[1]SADC!J100-J100&gt;0,I100+[1]SADC!I100-[1]SADC!J100-J100,0)</f>
        <v>0</v>
      </c>
      <c r="L100" s="182">
        <f>+IF(J100+[1]SADC!J100-[1]SADC!I100-I100&gt;0,J100+[1]SADC!J100-[1]SADC!I100-I100,0)</f>
        <v>0</v>
      </c>
      <c r="M100" s="182">
        <f>+IF(K100+[1]SADC!K100-[1]SADC!L100-L100&gt;0,K100+[1]SADC!K100-[1]SADC!L100-L100,0)</f>
        <v>0</v>
      </c>
      <c r="N100" s="182">
        <f>+IF(L100+[1]SADC!L100-[1]SADC!K100-K100&gt;0,L100+[1]SADC!L100-[1]SADC!K100-K100,0)</f>
        <v>0</v>
      </c>
      <c r="O100" s="182">
        <f>+IF(M100+[1]SADC!M100-[1]SADC!N100-N100&gt;0,M100+[1]SADC!M100-[1]SADC!N100-N100,0)</f>
        <v>0</v>
      </c>
      <c r="P100" s="182">
        <f>+IF(N100+[1]SADC!N100-[1]SADC!M100-M100&gt;0,N100+[1]SADC!N100-[1]SADC!M100-M100,0)</f>
        <v>0</v>
      </c>
      <c r="Q100" s="182">
        <f>+IF(O100+[1]SADC!O100-[1]SADC!P100-P100&gt;0,O100+[1]SADC!O100-[1]SADC!P100-P100,0)</f>
        <v>0</v>
      </c>
      <c r="R100" s="182">
        <f>+IF(P100+[1]SADC!P100-[1]SADC!O100-O100&gt;0,P100+[1]SADC!P100-[1]SADC!O100-O100,0)</f>
        <v>0</v>
      </c>
      <c r="S100" s="182">
        <f>+IF(Q100+[1]SADC!Q100-[1]SADC!R100-R100&gt;0,Q100+[1]SADC!Q100-[1]SADC!R100-R100,0)</f>
        <v>0</v>
      </c>
      <c r="T100" s="182">
        <f>+IF(R100+[1]SADC!R100-[1]SADC!Q100-Q100&gt;0,R100+[1]SADC!R100-[1]SADC!Q100-Q100,0)</f>
        <v>0</v>
      </c>
      <c r="U100" s="182">
        <f>+IF(S100+[1]SADC!S100-[1]SADC!T100-T100&gt;0,S100+[1]SADC!S100-[1]SADC!T100-T100,0)</f>
        <v>0</v>
      </c>
      <c r="V100" s="182">
        <f>+IF(T100+[1]SADC!T100-[1]SADC!S100-S100&gt;0,T100+[1]SADC!T100-[1]SADC!S100-S100,0)</f>
        <v>0</v>
      </c>
      <c r="W100" s="182">
        <f>+IF(U100+[1]SADC!U100-[1]SADC!V100-V100&gt;0,U100+[1]SADC!U100-[1]SADC!V100-V100,0)</f>
        <v>0</v>
      </c>
      <c r="X100" s="182">
        <f>+IF(V100+[1]SADC!V100-[1]SADC!U100-U100&gt;0,V100+[1]SADC!V100-[1]SADC!U100-U100,0)</f>
        <v>0</v>
      </c>
      <c r="Y100" s="182">
        <f>+IF(W100+[1]SADC!W100-[1]SADC!X100-X100&gt;0,W100+[1]SADC!W100-[1]SADC!X100-X100,0)</f>
        <v>0</v>
      </c>
      <c r="Z100" s="182">
        <f>+IF(X100+[1]SADC!X100-[1]SADC!W100-W100&gt;0,X100+[1]SADC!X100-[1]SADC!W100-W100,0)</f>
        <v>0</v>
      </c>
      <c r="AA100" s="182">
        <f>+IF(Y100+[1]SADC!Y100-[1]SADC!Z100-Z100&gt;0,Y100+[1]SADC!Y100-[1]SADC!Z100-Z100,0)</f>
        <v>0</v>
      </c>
      <c r="AB100" s="182">
        <f>+IF(Z100+[1]SADC!Z100-[1]SADC!Y100-Y100&gt;0,Z100+[1]SADC!Z100-[1]SADC!Y100-Y100,0)</f>
        <v>0</v>
      </c>
      <c r="AC100" s="181"/>
      <c r="AD100" s="182">
        <f t="shared" si="1"/>
        <v>0</v>
      </c>
      <c r="AE100" s="182">
        <f t="shared" si="1"/>
        <v>0</v>
      </c>
      <c r="AF100" s="181"/>
    </row>
    <row r="101" spans="1:32">
      <c r="A101" s="181" t="str">
        <f>+VLOOKUP(B101,'[1]coa-mgb'!A$1:B$65536,2,0)</f>
        <v>Other Business Income</v>
      </c>
      <c r="B101" s="184" t="s">
        <v>123</v>
      </c>
      <c r="C101" s="182">
        <f>+SUMIFS('[1]40202990 00'!$F$1:$F$65536,'[1]40202990 00'!$D$1:$D$65536,"Beginning Balance",'[1]40202990 00'!$D$1:$D$65536,"Beginning Balance")</f>
        <v>0</v>
      </c>
      <c r="D101" s="182">
        <f>+SUMIFS('[1]40202990 00'!$H$1:$H$65536,'[1]40202990 00'!$D$1:$D$65536,"Beginning Balance",'[1]40202990 00'!$D$1:$D$65536,"Beginning Balance")</f>
        <v>0</v>
      </c>
      <c r="E101" s="182">
        <f>+IF(C101+[1]SADC!C101-[1]SADC!D101-D101&gt;0,C101+[1]SADC!C101-[1]SADC!D101-D101,0)</f>
        <v>0</v>
      </c>
      <c r="F101" s="182">
        <f>+IF(D101+[1]SADC!D101-[1]SADC!C101-C101&gt;0,D101+[1]SADC!D101-[1]SADC!C101-C101,0)</f>
        <v>0</v>
      </c>
      <c r="G101" s="182">
        <f>+IF(E101+[1]SADC!E101-[1]SADC!F101-F101&gt;0,E101+[1]SADC!E101-[1]SADC!F101-F101,0)</f>
        <v>0</v>
      </c>
      <c r="H101" s="182">
        <f>+IF(F101+[1]SADC!F101-[1]SADC!E101-E101&gt;0,F101+[1]SADC!F101-[1]SADC!E101-E101,0)</f>
        <v>0</v>
      </c>
      <c r="I101" s="182">
        <f>+IF(G101+[1]SADC!G101-[1]SADC!H101-H101&gt;0,G101+[1]SADC!G101-[1]SADC!H101-H101,0)</f>
        <v>0</v>
      </c>
      <c r="J101" s="182">
        <f>+IF(H101+[1]SADC!H101-[1]SADC!G101-G101&gt;0,H101+[1]SADC!H101-[1]SADC!G101-G101,0)</f>
        <v>0</v>
      </c>
      <c r="K101" s="182">
        <f>+IF(I101+[1]SADC!I101-[1]SADC!J101-J101&gt;0,I101+[1]SADC!I101-[1]SADC!J101-J101,0)</f>
        <v>0</v>
      </c>
      <c r="L101" s="182">
        <f>+IF(J101+[1]SADC!J101-[1]SADC!I101-I101&gt;0,J101+[1]SADC!J101-[1]SADC!I101-I101,0)</f>
        <v>0</v>
      </c>
      <c r="M101" s="182">
        <f>+IF(K101+[1]SADC!K101-[1]SADC!L101-L101&gt;0,K101+[1]SADC!K101-[1]SADC!L101-L101,0)</f>
        <v>0</v>
      </c>
      <c r="N101" s="182">
        <f>+IF(L101+[1]SADC!L101-[1]SADC!K101-K101&gt;0,L101+[1]SADC!L101-[1]SADC!K101-K101,0)</f>
        <v>0</v>
      </c>
      <c r="O101" s="182">
        <f>+IF(M101+[1]SADC!M101-[1]SADC!N101-N101&gt;0,M101+[1]SADC!M101-[1]SADC!N101-N101,0)</f>
        <v>0</v>
      </c>
      <c r="P101" s="182">
        <f>+IF(N101+[1]SADC!N101-[1]SADC!M101-M101&gt;0,N101+[1]SADC!N101-[1]SADC!M101-M101,0)</f>
        <v>0</v>
      </c>
      <c r="Q101" s="182">
        <f>+IF(O101+[1]SADC!O101-[1]SADC!P101-P101&gt;0,O101+[1]SADC!O101-[1]SADC!P101-P101,0)</f>
        <v>0</v>
      </c>
      <c r="R101" s="182">
        <f>+IF(P101+[1]SADC!P101-[1]SADC!O101-O101&gt;0,P101+[1]SADC!P101-[1]SADC!O101-O101,0)</f>
        <v>0</v>
      </c>
      <c r="S101" s="182">
        <f>+IF(Q101+[1]SADC!Q101-[1]SADC!R101-R101&gt;0,Q101+[1]SADC!Q101-[1]SADC!R101-R101,0)</f>
        <v>0</v>
      </c>
      <c r="T101" s="182">
        <f>+IF(R101+[1]SADC!R101-[1]SADC!Q101-Q101&gt;0,R101+[1]SADC!R101-[1]SADC!Q101-Q101,0)</f>
        <v>0</v>
      </c>
      <c r="U101" s="182">
        <f>+IF(S101+[1]SADC!S101-[1]SADC!T101-T101&gt;0,S101+[1]SADC!S101-[1]SADC!T101-T101,0)</f>
        <v>0</v>
      </c>
      <c r="V101" s="182">
        <f>+IF(T101+[1]SADC!T101-[1]SADC!S101-S101&gt;0,T101+[1]SADC!T101-[1]SADC!S101-S101,0)</f>
        <v>0</v>
      </c>
      <c r="W101" s="182">
        <f>+IF(U101+[1]SADC!U101-[1]SADC!V101-V101&gt;0,U101+[1]SADC!U101-[1]SADC!V101-V101,0)</f>
        <v>0</v>
      </c>
      <c r="X101" s="182">
        <f>+IF(V101+[1]SADC!V101-[1]SADC!U101-U101&gt;0,V101+[1]SADC!V101-[1]SADC!U101-U101,0)</f>
        <v>0</v>
      </c>
      <c r="Y101" s="182">
        <f>+IF(W101+[1]SADC!W101-[1]SADC!X101-X101&gt;0,W101+[1]SADC!W101-[1]SADC!X101-X101,0)</f>
        <v>0</v>
      </c>
      <c r="Z101" s="182">
        <f>+IF(X101+[1]SADC!X101-[1]SADC!W101-W101&gt;0,X101+[1]SADC!X101-[1]SADC!W101-W101,0)</f>
        <v>0</v>
      </c>
      <c r="AA101" s="182">
        <f>+IF(Y101+[1]SADC!Y101-[1]SADC!Z101-Z101&gt;0,Y101+[1]SADC!Y101-[1]SADC!Z101-Z101,0)</f>
        <v>0</v>
      </c>
      <c r="AB101" s="182">
        <f>+IF(Z101+[1]SADC!Z101-[1]SADC!Y101-Y101&gt;0,Z101+[1]SADC!Z101-[1]SADC!Y101-Y101,0)</f>
        <v>0</v>
      </c>
      <c r="AC101" s="181"/>
      <c r="AD101" s="182">
        <f t="shared" si="1"/>
        <v>0</v>
      </c>
      <c r="AE101" s="182">
        <f t="shared" si="1"/>
        <v>0</v>
      </c>
      <c r="AF101" s="181"/>
    </row>
    <row r="102" spans="1:32">
      <c r="A102" s="181" t="str">
        <f>+VLOOKUP(B102,'[1]coa-mgb'!A$1:B$65536,2,0)</f>
        <v>Subsidy Income from National Government</v>
      </c>
      <c r="B102" s="184" t="s">
        <v>124</v>
      </c>
      <c r="C102" s="182">
        <f>+SUMIFS('[1]40301010 00'!$F$1:$F$65536,'[1]40301010 00'!$D$1:$D$65536,"Beginning Balance",'[1]40301010 00'!$D$1:$D$65536,"Beginning Balance")</f>
        <v>0</v>
      </c>
      <c r="D102" s="182">
        <f>+SUMIFS('[1]40301010 00'!$H$1:$H$65536,'[1]40301010 00'!$D$1:$D$65536,"Beginning Balance",'[1]40301010 00'!$D$1:$D$65536,"Beginning Balance")</f>
        <v>0</v>
      </c>
      <c r="E102" s="182">
        <f>+IF(C102+[1]SADC!C102-[1]SADC!D102-D102&gt;0,C102+[1]SADC!C102-[1]SADC!D102-D102,0)</f>
        <v>0</v>
      </c>
      <c r="F102" s="182">
        <f>+IF(D102+[1]SADC!D102-[1]SADC!C102-C102&gt;0,D102+[1]SADC!D102-[1]SADC!C102-C102,0)</f>
        <v>1695000</v>
      </c>
      <c r="G102" s="182">
        <f>+IF(E102+[1]SADC!E102-[1]SADC!F102-F102&gt;0,E102+[1]SADC!E102-[1]SADC!F102-F102,0)</f>
        <v>0</v>
      </c>
      <c r="H102" s="182">
        <f>+IF(F102+[1]SADC!F102-[1]SADC!E102-E102&gt;0,F102+[1]SADC!F102-[1]SADC!E102-E102,0)</f>
        <v>3990988.82</v>
      </c>
      <c r="I102" s="182">
        <f>+IF(G102+[1]SADC!G102-[1]SADC!H102-H102&gt;0,G102+[1]SADC!G102-[1]SADC!H102-H102,0)</f>
        <v>0</v>
      </c>
      <c r="J102" s="182">
        <f>+IF(H102+[1]SADC!H102-[1]SADC!G102-G102&gt;0,H102+[1]SADC!H102-[1]SADC!G102-G102,0)</f>
        <v>6367085.7000000002</v>
      </c>
      <c r="K102" s="182">
        <f>+IF(I102+[1]SADC!I102-[1]SADC!J102-J102&gt;0,I102+[1]SADC!I102-[1]SADC!J102-J102,0)</f>
        <v>0</v>
      </c>
      <c r="L102" s="182">
        <f>+IF(J102+[1]SADC!J102-[1]SADC!I102-I102&gt;0,J102+[1]SADC!J102-[1]SADC!I102-I102,0)</f>
        <v>6367085.7000000002</v>
      </c>
      <c r="M102" s="182">
        <f>+IF(K102+[1]SADC!K102-[1]SADC!L102-L102&gt;0,K102+[1]SADC!K102-[1]SADC!L102-L102,0)</f>
        <v>0</v>
      </c>
      <c r="N102" s="182">
        <f>+IF(L102+[1]SADC!L102-[1]SADC!K102-K102&gt;0,L102+[1]SADC!L102-[1]SADC!K102-K102,0)</f>
        <v>6367085.7000000002</v>
      </c>
      <c r="O102" s="182">
        <f>+IF(M102+[1]SADC!M102-[1]SADC!N102-N102&gt;0,M102+[1]SADC!M102-[1]SADC!N102-N102,0)</f>
        <v>0</v>
      </c>
      <c r="P102" s="182">
        <f>+IF(N102+[1]SADC!N102-[1]SADC!M102-M102&gt;0,N102+[1]SADC!N102-[1]SADC!M102-M102,0)</f>
        <v>6367085.7000000002</v>
      </c>
      <c r="Q102" s="182">
        <f>+IF(O102+[1]SADC!O102-[1]SADC!P102-P102&gt;0,O102+[1]SADC!O102-[1]SADC!P102-P102,0)</f>
        <v>0</v>
      </c>
      <c r="R102" s="182">
        <f>+IF(P102+[1]SADC!P102-[1]SADC!O102-O102&gt;0,P102+[1]SADC!P102-[1]SADC!O102-O102,0)</f>
        <v>6367085.7000000002</v>
      </c>
      <c r="S102" s="182">
        <f>+IF(Q102+[1]SADC!Q102-[1]SADC!R102-R102&gt;0,Q102+[1]SADC!Q102-[1]SADC!R102-R102,0)</f>
        <v>0</v>
      </c>
      <c r="T102" s="182">
        <f>+IF(R102+[1]SADC!R102-[1]SADC!Q102-Q102&gt;0,R102+[1]SADC!R102-[1]SADC!Q102-Q102,0)</f>
        <v>6367085.7000000002</v>
      </c>
      <c r="U102" s="182">
        <f>+IF(S102+[1]SADC!S102-[1]SADC!T102-T102&gt;0,S102+[1]SADC!S102-[1]SADC!T102-T102,0)</f>
        <v>0</v>
      </c>
      <c r="V102" s="182">
        <f>+IF(T102+[1]SADC!T102-[1]SADC!S102-S102&gt;0,T102+[1]SADC!T102-[1]SADC!S102-S102,0)</f>
        <v>6367085.7000000002</v>
      </c>
      <c r="W102" s="182">
        <f>+IF(U102+[1]SADC!U102-[1]SADC!V102-V102&gt;0,U102+[1]SADC!U102-[1]SADC!V102-V102,0)</f>
        <v>0</v>
      </c>
      <c r="X102" s="182">
        <f>+IF(V102+[1]SADC!V102-[1]SADC!U102-U102&gt;0,V102+[1]SADC!V102-[1]SADC!U102-U102,0)</f>
        <v>6367085.7000000002</v>
      </c>
      <c r="Y102" s="182">
        <f>+IF(W102+[1]SADC!W102-[1]SADC!X102-X102&gt;0,W102+[1]SADC!W102-[1]SADC!X102-X102,0)</f>
        <v>0</v>
      </c>
      <c r="Z102" s="182">
        <f>+IF(X102+[1]SADC!X102-[1]SADC!W102-W102&gt;0,X102+[1]SADC!X102-[1]SADC!W102-W102,0)</f>
        <v>6367085.7000000002</v>
      </c>
      <c r="AA102" s="182">
        <f>+IF(Y102+[1]SADC!Y102-[1]SADC!Z102-Z102&gt;0,Y102+[1]SADC!Y102-[1]SADC!Z102-Z102,0)</f>
        <v>0</v>
      </c>
      <c r="AB102" s="182">
        <f>+IF(Z102+[1]SADC!Z102-[1]SADC!Y102-Y102&gt;0,Z102+[1]SADC!Z102-[1]SADC!Y102-Y102,0)</f>
        <v>6367085.7000000002</v>
      </c>
      <c r="AC102" s="181"/>
      <c r="AD102" s="182">
        <f t="shared" si="1"/>
        <v>0</v>
      </c>
      <c r="AE102" s="182">
        <f t="shared" si="1"/>
        <v>6367085.7000000002</v>
      </c>
      <c r="AF102" s="181"/>
    </row>
    <row r="103" spans="1:32">
      <c r="A103" s="181" t="str">
        <f>+VLOOKUP(B103,'[1]coa-mgb'!A$1:B$65536,2,0)</f>
        <v>Subsidy Income from Other National Government Agencies-MGB Central Office</v>
      </c>
      <c r="B103" s="184" t="s">
        <v>125</v>
      </c>
      <c r="C103" s="182">
        <f>+SUMIFS('[1]40301020 00'!$F$1:$F$65536,'[1]40301020 00'!$D$1:$D$65536,"Beginning Balance",'[1]40301020 00'!$D$1:$D$65536,"Beginning Balance")</f>
        <v>0</v>
      </c>
      <c r="D103" s="182">
        <f>+SUMIFS('[1]40301020 00'!$H$1:$H$65536,'[1]40301020 00'!$D$1:$D$65536,"Beginning Balance",'[1]40301020 00'!$D$1:$D$65536,"Beginning Balance")</f>
        <v>0</v>
      </c>
      <c r="E103" s="182">
        <f>+IF(C103+[1]SADC!C103-[1]SADC!D103-D103&gt;0,C103+[1]SADC!C103-[1]SADC!D103-D103,0)</f>
        <v>0</v>
      </c>
      <c r="F103" s="182">
        <f>+IF(D103+[1]SADC!D103-[1]SADC!C103-C103&gt;0,D103+[1]SADC!D103-[1]SADC!C103-C103,0)</f>
        <v>0</v>
      </c>
      <c r="G103" s="182">
        <f>+IF(E103+[1]SADC!E103-[1]SADC!F103-F103&gt;0,E103+[1]SADC!E103-[1]SADC!F103-F103,0)</f>
        <v>0</v>
      </c>
      <c r="H103" s="182">
        <f>+IF(F103+[1]SADC!F103-[1]SADC!E103-E103&gt;0,F103+[1]SADC!F103-[1]SADC!E103-E103,0)</f>
        <v>0</v>
      </c>
      <c r="I103" s="182">
        <f>+IF(G103+[1]SADC!G103-[1]SADC!H103-H103&gt;0,G103+[1]SADC!G103-[1]SADC!H103-H103,0)</f>
        <v>0</v>
      </c>
      <c r="J103" s="182">
        <f>+IF(H103+[1]SADC!H103-[1]SADC!G103-G103&gt;0,H103+[1]SADC!H103-[1]SADC!G103-G103,0)</f>
        <v>0</v>
      </c>
      <c r="K103" s="182">
        <f>+IF(I103+[1]SADC!I103-[1]SADC!J103-J103&gt;0,I103+[1]SADC!I103-[1]SADC!J103-J103,0)</f>
        <v>0</v>
      </c>
      <c r="L103" s="182">
        <f>+IF(J103+[1]SADC!J103-[1]SADC!I103-I103&gt;0,J103+[1]SADC!J103-[1]SADC!I103-I103,0)</f>
        <v>0</v>
      </c>
      <c r="M103" s="182">
        <f>+IF(K103+[1]SADC!K103-[1]SADC!L103-L103&gt;0,K103+[1]SADC!K103-[1]SADC!L103-L103,0)</f>
        <v>0</v>
      </c>
      <c r="N103" s="182">
        <f>+IF(L103+[1]SADC!L103-[1]SADC!K103-K103&gt;0,L103+[1]SADC!L103-[1]SADC!K103-K103,0)</f>
        <v>0</v>
      </c>
      <c r="O103" s="182">
        <f>+IF(M103+[1]SADC!M103-[1]SADC!N103-N103&gt;0,M103+[1]SADC!M103-[1]SADC!N103-N103,0)</f>
        <v>0</v>
      </c>
      <c r="P103" s="182">
        <f>+IF(N103+[1]SADC!N103-[1]SADC!M103-M103&gt;0,N103+[1]SADC!N103-[1]SADC!M103-M103,0)</f>
        <v>0</v>
      </c>
      <c r="Q103" s="182">
        <f>+IF(O103+[1]SADC!O103-[1]SADC!P103-P103&gt;0,O103+[1]SADC!O103-[1]SADC!P103-P103,0)</f>
        <v>0</v>
      </c>
      <c r="R103" s="182">
        <f>+IF(P103+[1]SADC!P103-[1]SADC!O103-O103&gt;0,P103+[1]SADC!P103-[1]SADC!O103-O103,0)</f>
        <v>0</v>
      </c>
      <c r="S103" s="182">
        <f>+IF(Q103+[1]SADC!Q103-[1]SADC!R103-R103&gt;0,Q103+[1]SADC!Q103-[1]SADC!R103-R103,0)</f>
        <v>0</v>
      </c>
      <c r="T103" s="182">
        <f>+IF(R103+[1]SADC!R103-[1]SADC!Q103-Q103&gt;0,R103+[1]SADC!R103-[1]SADC!Q103-Q103,0)</f>
        <v>0</v>
      </c>
      <c r="U103" s="182">
        <f>+IF(S103+[1]SADC!S103-[1]SADC!T103-T103&gt;0,S103+[1]SADC!S103-[1]SADC!T103-T103,0)</f>
        <v>0</v>
      </c>
      <c r="V103" s="182">
        <f>+IF(T103+[1]SADC!T103-[1]SADC!S103-S103&gt;0,T103+[1]SADC!T103-[1]SADC!S103-S103,0)</f>
        <v>0</v>
      </c>
      <c r="W103" s="182">
        <f>+IF(U103+[1]SADC!U103-[1]SADC!V103-V103&gt;0,U103+[1]SADC!U103-[1]SADC!V103-V103,0)</f>
        <v>0</v>
      </c>
      <c r="X103" s="182">
        <f>+IF(V103+[1]SADC!V103-[1]SADC!U103-U103&gt;0,V103+[1]SADC!V103-[1]SADC!U103-U103,0)</f>
        <v>0</v>
      </c>
      <c r="Y103" s="182">
        <f>+IF(W103+[1]SADC!W103-[1]SADC!X103-X103&gt;0,W103+[1]SADC!W103-[1]SADC!X103-X103,0)</f>
        <v>0</v>
      </c>
      <c r="Z103" s="182">
        <f>+IF(X103+[1]SADC!X103-[1]SADC!W103-W103&gt;0,X103+[1]SADC!X103-[1]SADC!W103-W103,0)</f>
        <v>0</v>
      </c>
      <c r="AA103" s="182">
        <f>+IF(Y103+[1]SADC!Y103-[1]SADC!Z103-Z103&gt;0,Y103+[1]SADC!Y103-[1]SADC!Z103-Z103,0)</f>
        <v>0</v>
      </c>
      <c r="AB103" s="182">
        <f>+IF(Z103+[1]SADC!Z103-[1]SADC!Y103-Y103&gt;0,Z103+[1]SADC!Z103-[1]SADC!Y103-Y103,0)</f>
        <v>0</v>
      </c>
      <c r="AC103" s="181"/>
      <c r="AD103" s="182">
        <f t="shared" si="1"/>
        <v>0</v>
      </c>
      <c r="AE103" s="182">
        <f t="shared" si="1"/>
        <v>0</v>
      </c>
      <c r="AF103" s="181"/>
    </row>
    <row r="104" spans="1:32">
      <c r="A104" s="181" t="str">
        <f>+VLOOKUP(B104,'[1]coa-mgb'!A$1:B$65536,2,0)</f>
        <v>Subsidy from Other Funds</v>
      </c>
      <c r="B104" s="184" t="s">
        <v>127</v>
      </c>
      <c r="C104" s="182">
        <f>+SUMIFS('[1]40301050 00'!$F$1:$F$65536,'[1]40301050 00'!$D$1:$D$65536,"Beginning Balance",'[1]40301050 00'!$D$1:$D$65536,"Beginning Balance")</f>
        <v>0</v>
      </c>
      <c r="D104" s="182">
        <f>+SUMIFS('[1]40301050 00'!$H$1:$H$65536,'[1]40301050 00'!$D$1:$D$65536,"Beginning Balance",'[1]40301050 00'!$D$1:$D$65536,"Beginning Balance")</f>
        <v>0</v>
      </c>
      <c r="E104" s="182">
        <f>+IF(C104+[1]SADC!C104-[1]SADC!D104-D104&gt;0,C104+[1]SADC!C104-[1]SADC!D104-D104,0)</f>
        <v>0</v>
      </c>
      <c r="F104" s="182">
        <f>+IF(D104+[1]SADC!D104-[1]SADC!C104-C104&gt;0,D104+[1]SADC!D104-[1]SADC!C104-C104,0)</f>
        <v>0</v>
      </c>
      <c r="G104" s="182">
        <f>+IF(E104+[1]SADC!E104-[1]SADC!F104-F104&gt;0,E104+[1]SADC!E104-[1]SADC!F104-F104,0)</f>
        <v>0</v>
      </c>
      <c r="H104" s="182">
        <f>+IF(F104+[1]SADC!F104-[1]SADC!E104-E104&gt;0,F104+[1]SADC!F104-[1]SADC!E104-E104,0)</f>
        <v>0</v>
      </c>
      <c r="I104" s="182">
        <f>+IF(G104+[1]SADC!G104-[1]SADC!H104-H104&gt;0,G104+[1]SADC!G104-[1]SADC!H104-H104,0)</f>
        <v>0</v>
      </c>
      <c r="J104" s="182">
        <f>+IF(H104+[1]SADC!H104-[1]SADC!G104-G104&gt;0,H104+[1]SADC!H104-[1]SADC!G104-G104,0)</f>
        <v>0</v>
      </c>
      <c r="K104" s="182">
        <f>+IF(I104+[1]SADC!I104-[1]SADC!J104-J104&gt;0,I104+[1]SADC!I104-[1]SADC!J104-J104,0)</f>
        <v>0</v>
      </c>
      <c r="L104" s="182">
        <f>+IF(J104+[1]SADC!J104-[1]SADC!I104-I104&gt;0,J104+[1]SADC!J104-[1]SADC!I104-I104,0)</f>
        <v>0</v>
      </c>
      <c r="M104" s="182">
        <f>+IF(K104+[1]SADC!K104-[1]SADC!L104-L104&gt;0,K104+[1]SADC!K104-[1]SADC!L104-L104,0)</f>
        <v>0</v>
      </c>
      <c r="N104" s="182">
        <f>+IF(L104+[1]SADC!L104-[1]SADC!K104-K104&gt;0,L104+[1]SADC!L104-[1]SADC!K104-K104,0)</f>
        <v>0</v>
      </c>
      <c r="O104" s="182">
        <f>+IF(M104+[1]SADC!M104-[1]SADC!N104-N104&gt;0,M104+[1]SADC!M104-[1]SADC!N104-N104,0)</f>
        <v>0</v>
      </c>
      <c r="P104" s="182">
        <f>+IF(N104+[1]SADC!N104-[1]SADC!M104-M104&gt;0,N104+[1]SADC!N104-[1]SADC!M104-M104,0)</f>
        <v>0</v>
      </c>
      <c r="Q104" s="182">
        <f>+IF(O104+[1]SADC!O104-[1]SADC!P104-P104&gt;0,O104+[1]SADC!O104-[1]SADC!P104-P104,0)</f>
        <v>0</v>
      </c>
      <c r="R104" s="182">
        <f>+IF(P104+[1]SADC!P104-[1]SADC!O104-O104&gt;0,P104+[1]SADC!P104-[1]SADC!O104-O104,0)</f>
        <v>0</v>
      </c>
      <c r="S104" s="182">
        <f>+IF(Q104+[1]SADC!Q104-[1]SADC!R104-R104&gt;0,Q104+[1]SADC!Q104-[1]SADC!R104-R104,0)</f>
        <v>0</v>
      </c>
      <c r="T104" s="182">
        <f>+IF(R104+[1]SADC!R104-[1]SADC!Q104-Q104&gt;0,R104+[1]SADC!R104-[1]SADC!Q104-Q104,0)</f>
        <v>0</v>
      </c>
      <c r="U104" s="182">
        <f>+IF(S104+[1]SADC!S104-[1]SADC!T104-T104&gt;0,S104+[1]SADC!S104-[1]SADC!T104-T104,0)</f>
        <v>0</v>
      </c>
      <c r="V104" s="182">
        <f>+IF(T104+[1]SADC!T104-[1]SADC!S104-S104&gt;0,T104+[1]SADC!T104-[1]SADC!S104-S104,0)</f>
        <v>0</v>
      </c>
      <c r="W104" s="182">
        <f>+IF(U104+[1]SADC!U104-[1]SADC!V104-V104&gt;0,U104+[1]SADC!U104-[1]SADC!V104-V104,0)</f>
        <v>0</v>
      </c>
      <c r="X104" s="182">
        <f>+IF(V104+[1]SADC!V104-[1]SADC!U104-U104&gt;0,V104+[1]SADC!V104-[1]SADC!U104-U104,0)</f>
        <v>0</v>
      </c>
      <c r="Y104" s="182">
        <f>+IF(W104+[1]SADC!W104-[1]SADC!X104-X104&gt;0,W104+[1]SADC!W104-[1]SADC!X104-X104,0)</f>
        <v>0</v>
      </c>
      <c r="Z104" s="182">
        <f>+IF(X104+[1]SADC!X104-[1]SADC!W104-W104&gt;0,X104+[1]SADC!X104-[1]SADC!W104-W104,0)</f>
        <v>0</v>
      </c>
      <c r="AA104" s="182">
        <f>+IF(Y104+[1]SADC!Y104-[1]SADC!Z104-Z104&gt;0,Y104+[1]SADC!Y104-[1]SADC!Z104-Z104,0)</f>
        <v>0</v>
      </c>
      <c r="AB104" s="182">
        <f>+IF(Z104+[1]SADC!Z104-[1]SADC!Y104-Y104&gt;0,Z104+[1]SADC!Z104-[1]SADC!Y104-Y104,0)</f>
        <v>0</v>
      </c>
      <c r="AC104" s="181"/>
      <c r="AD104" s="182">
        <f t="shared" si="1"/>
        <v>0</v>
      </c>
      <c r="AE104" s="182">
        <f t="shared" si="1"/>
        <v>0</v>
      </c>
      <c r="AF104" s="181"/>
    </row>
    <row r="105" spans="1:32">
      <c r="A105" s="181" t="str">
        <f>+VLOOKUP(B105,'[1]coa-mgb'!A$1:B$65536,2,0)</f>
        <v>Salaries and Wages - Regular Pay</v>
      </c>
      <c r="B105" s="184" t="s">
        <v>131</v>
      </c>
      <c r="C105" s="182">
        <f>+SUMIFS('[1]50101010 00'!$F$1:$F$65536,'[1]50101010 00'!$D$1:$D$65536,"Beginning Balance",'[1]50101010 00'!$D$1:$D$65536,"Beginning Balance")</f>
        <v>0</v>
      </c>
      <c r="D105" s="182">
        <f>+SUMIFS('[1]50101010 00'!$H$1:$H$65536,'[1]50101010 00'!$D$1:$D$65536,"Beginning Balance",'[1]50101010 00'!$D$1:$D$65536,"Beginning Balance")</f>
        <v>0</v>
      </c>
      <c r="E105" s="182">
        <f>+IF(C105+[1]SADC!C105-[1]SADC!D105-D105&gt;0,C105+[1]SADC!C105-[1]SADC!D105-D105,0)</f>
        <v>1023192</v>
      </c>
      <c r="F105" s="182">
        <f>+IF(D105+[1]SADC!D105-[1]SADC!C105-C105&gt;0,D105+[1]SADC!D105-[1]SADC!C105-C105,0)</f>
        <v>0</v>
      </c>
      <c r="G105" s="182">
        <f>+IF(E105+[1]SADC!E105-[1]SADC!F105-F105&gt;0,E105+[1]SADC!E105-[1]SADC!F105-F105,0)</f>
        <v>2063253.9999999998</v>
      </c>
      <c r="H105" s="182">
        <f>+IF(F105+[1]SADC!F105-[1]SADC!E105-E105&gt;0,F105+[1]SADC!F105-[1]SADC!E105-E105,0)</f>
        <v>0</v>
      </c>
      <c r="I105" s="182">
        <f>+IF(G105+[1]SADC!G105-[1]SADC!H105-H105&gt;0,G105+[1]SADC!G105-[1]SADC!H105-H105,0)</f>
        <v>3354272</v>
      </c>
      <c r="J105" s="182">
        <f>+IF(H105+[1]SADC!H105-[1]SADC!G105-G105&gt;0,H105+[1]SADC!H105-[1]SADC!G105-G105,0)</f>
        <v>0</v>
      </c>
      <c r="K105" s="182">
        <f>+IF(I105+[1]SADC!I105-[1]SADC!J105-J105&gt;0,I105+[1]SADC!I105-[1]SADC!J105-J105,0)</f>
        <v>3354272</v>
      </c>
      <c r="L105" s="182">
        <f>+IF(J105+[1]SADC!J105-[1]SADC!I105-I105&gt;0,J105+[1]SADC!J105-[1]SADC!I105-I105,0)</f>
        <v>0</v>
      </c>
      <c r="M105" s="182">
        <f>+IF(K105+[1]SADC!K105-[1]SADC!L105-L105&gt;0,K105+[1]SADC!K105-[1]SADC!L105-L105,0)</f>
        <v>3354272</v>
      </c>
      <c r="N105" s="182">
        <f>+IF(L105+[1]SADC!L105-[1]SADC!K105-K105&gt;0,L105+[1]SADC!L105-[1]SADC!K105-K105,0)</f>
        <v>0</v>
      </c>
      <c r="O105" s="182">
        <f>+IF(M105+[1]SADC!M105-[1]SADC!N105-N105&gt;0,M105+[1]SADC!M105-[1]SADC!N105-N105,0)</f>
        <v>3354272</v>
      </c>
      <c r="P105" s="182">
        <f>+IF(N105+[1]SADC!N105-[1]SADC!M105-M105&gt;0,N105+[1]SADC!N105-[1]SADC!M105-M105,0)</f>
        <v>0</v>
      </c>
      <c r="Q105" s="182">
        <f>+IF(O105+[1]SADC!O105-[1]SADC!P105-P105&gt;0,O105+[1]SADC!O105-[1]SADC!P105-P105,0)</f>
        <v>3354272</v>
      </c>
      <c r="R105" s="182">
        <f>+IF(P105+[1]SADC!P105-[1]SADC!O105-O105&gt;0,P105+[1]SADC!P105-[1]SADC!O105-O105,0)</f>
        <v>0</v>
      </c>
      <c r="S105" s="182">
        <f>+IF(Q105+[1]SADC!Q105-[1]SADC!R105-R105&gt;0,Q105+[1]SADC!Q105-[1]SADC!R105-R105,0)</f>
        <v>3354272</v>
      </c>
      <c r="T105" s="182">
        <f>+IF(R105+[1]SADC!R105-[1]SADC!Q105-Q105&gt;0,R105+[1]SADC!R105-[1]SADC!Q105-Q105,0)</f>
        <v>0</v>
      </c>
      <c r="U105" s="182">
        <f>+IF(S105+[1]SADC!S105-[1]SADC!T105-T105&gt;0,S105+[1]SADC!S105-[1]SADC!T105-T105,0)</f>
        <v>3354272</v>
      </c>
      <c r="V105" s="182">
        <f>+IF(T105+[1]SADC!T105-[1]SADC!S105-S105&gt;0,T105+[1]SADC!T105-[1]SADC!S105-S105,0)</f>
        <v>0</v>
      </c>
      <c r="W105" s="182">
        <f>+IF(U105+[1]SADC!U105-[1]SADC!V105-V105&gt;0,U105+[1]SADC!U105-[1]SADC!V105-V105,0)</f>
        <v>3354272</v>
      </c>
      <c r="X105" s="182">
        <f>+IF(V105+[1]SADC!V105-[1]SADC!U105-U105&gt;0,V105+[1]SADC!V105-[1]SADC!U105-U105,0)</f>
        <v>0</v>
      </c>
      <c r="Y105" s="182">
        <f>+IF(W105+[1]SADC!W105-[1]SADC!X105-X105&gt;0,W105+[1]SADC!W105-[1]SADC!X105-X105,0)</f>
        <v>3354272</v>
      </c>
      <c r="Z105" s="182">
        <f>+IF(X105+[1]SADC!X105-[1]SADC!W105-W105&gt;0,X105+[1]SADC!X105-[1]SADC!W105-W105,0)</f>
        <v>0</v>
      </c>
      <c r="AA105" s="182">
        <f>+IF(Y105+[1]SADC!Y105-[1]SADC!Z105-Z105&gt;0,Y105+[1]SADC!Y105-[1]SADC!Z105-Z105,0)</f>
        <v>3354272</v>
      </c>
      <c r="AB105" s="182">
        <f>+IF(Z105+[1]SADC!Z105-[1]SADC!Y105-Y105&gt;0,Z105+[1]SADC!Z105-[1]SADC!Y105-Y105,0)</f>
        <v>0</v>
      </c>
      <c r="AC105" s="181"/>
      <c r="AD105" s="182">
        <f t="shared" si="1"/>
        <v>3354272</v>
      </c>
      <c r="AE105" s="182">
        <f t="shared" si="1"/>
        <v>0</v>
      </c>
      <c r="AF105" s="181"/>
    </row>
    <row r="106" spans="1:32">
      <c r="A106" s="181" t="str">
        <f>+VLOOKUP(B106,'[1]coa-mgb'!A$1:B$65536,2,0)</f>
        <v>Personnel Economic Relief Allowance (PERA)</v>
      </c>
      <c r="B106" s="184" t="s">
        <v>132</v>
      </c>
      <c r="C106" s="182">
        <f>+SUMIFS('[1]50102010 00'!$F$1:$F$65536,'[1]50102010 00'!$D$1:$D$65536,"Beginning Balance",'[1]50102010 00'!$D$1:$D$65536,"Beginning Balance")</f>
        <v>0</v>
      </c>
      <c r="D106" s="182">
        <f>+SUMIFS('[1]50102010 00'!$H$1:$H$65536,'[1]50102010 00'!$D$1:$D$65536,"Beginning Balance",'[1]50102010 00'!$D$1:$D$65536,"Beginning Balance")</f>
        <v>0</v>
      </c>
      <c r="E106" s="182">
        <f>+IF(C106+[1]SADC!C106-[1]SADC!D106-D106&gt;0,C106+[1]SADC!C106-[1]SADC!D106-D106,0)</f>
        <v>72000</v>
      </c>
      <c r="F106" s="182">
        <f>+IF(D106+[1]SADC!D106-[1]SADC!C106-C106&gt;0,D106+[1]SADC!D106-[1]SADC!C106-C106,0)</f>
        <v>0</v>
      </c>
      <c r="G106" s="182">
        <f>+IF(E106+[1]SADC!E106-[1]SADC!F106-F106&gt;0,E106+[1]SADC!E106-[1]SADC!F106-F106,0)</f>
        <v>144000</v>
      </c>
      <c r="H106" s="182">
        <f>+IF(F106+[1]SADC!F106-[1]SADC!E106-E106&gt;0,F106+[1]SADC!F106-[1]SADC!E106-E106,0)</f>
        <v>0</v>
      </c>
      <c r="I106" s="182">
        <f>+IF(G106+[1]SADC!G106-[1]SADC!H106-H106&gt;0,G106+[1]SADC!G106-[1]SADC!H106-H106,0)</f>
        <v>218000</v>
      </c>
      <c r="J106" s="182">
        <f>+IF(H106+[1]SADC!H106-[1]SADC!G106-G106&gt;0,H106+[1]SADC!H106-[1]SADC!G106-G106,0)</f>
        <v>0</v>
      </c>
      <c r="K106" s="182">
        <f>+IF(I106+[1]SADC!I106-[1]SADC!J106-J106&gt;0,I106+[1]SADC!I106-[1]SADC!J106-J106,0)</f>
        <v>218000</v>
      </c>
      <c r="L106" s="182">
        <f>+IF(J106+[1]SADC!J106-[1]SADC!I106-I106&gt;0,J106+[1]SADC!J106-[1]SADC!I106-I106,0)</f>
        <v>0</v>
      </c>
      <c r="M106" s="182">
        <f>+IF(K106+[1]SADC!K106-[1]SADC!L106-L106&gt;0,K106+[1]SADC!K106-[1]SADC!L106-L106,0)</f>
        <v>218000</v>
      </c>
      <c r="N106" s="182">
        <f>+IF(L106+[1]SADC!L106-[1]SADC!K106-K106&gt;0,L106+[1]SADC!L106-[1]SADC!K106-K106,0)</f>
        <v>0</v>
      </c>
      <c r="O106" s="182">
        <f>+IF(M106+[1]SADC!M106-[1]SADC!N106-N106&gt;0,M106+[1]SADC!M106-[1]SADC!N106-N106,0)</f>
        <v>218000</v>
      </c>
      <c r="P106" s="182">
        <f>+IF(N106+[1]SADC!N106-[1]SADC!M106-M106&gt;0,N106+[1]SADC!N106-[1]SADC!M106-M106,0)</f>
        <v>0</v>
      </c>
      <c r="Q106" s="182">
        <f>+IF(O106+[1]SADC!O106-[1]SADC!P106-P106&gt;0,O106+[1]SADC!O106-[1]SADC!P106-P106,0)</f>
        <v>218000</v>
      </c>
      <c r="R106" s="182">
        <f>+IF(P106+[1]SADC!P106-[1]SADC!O106-O106&gt;0,P106+[1]SADC!P106-[1]SADC!O106-O106,0)</f>
        <v>0</v>
      </c>
      <c r="S106" s="182">
        <f>+IF(Q106+[1]SADC!Q106-[1]SADC!R106-R106&gt;0,Q106+[1]SADC!Q106-[1]SADC!R106-R106,0)</f>
        <v>218000</v>
      </c>
      <c r="T106" s="182">
        <f>+IF(R106+[1]SADC!R106-[1]SADC!Q106-Q106&gt;0,R106+[1]SADC!R106-[1]SADC!Q106-Q106,0)</f>
        <v>0</v>
      </c>
      <c r="U106" s="182">
        <f>+IF(S106+[1]SADC!S106-[1]SADC!T106-T106&gt;0,S106+[1]SADC!S106-[1]SADC!T106-T106,0)</f>
        <v>218000</v>
      </c>
      <c r="V106" s="182">
        <f>+IF(T106+[1]SADC!T106-[1]SADC!S106-S106&gt;0,T106+[1]SADC!T106-[1]SADC!S106-S106,0)</f>
        <v>0</v>
      </c>
      <c r="W106" s="182">
        <f>+IF(U106+[1]SADC!U106-[1]SADC!V106-V106&gt;0,U106+[1]SADC!U106-[1]SADC!V106-V106,0)</f>
        <v>218000</v>
      </c>
      <c r="X106" s="182">
        <f>+IF(V106+[1]SADC!V106-[1]SADC!U106-U106&gt;0,V106+[1]SADC!V106-[1]SADC!U106-U106,0)</f>
        <v>0</v>
      </c>
      <c r="Y106" s="182">
        <f>+IF(W106+[1]SADC!W106-[1]SADC!X106-X106&gt;0,W106+[1]SADC!W106-[1]SADC!X106-X106,0)</f>
        <v>218000</v>
      </c>
      <c r="Z106" s="182">
        <f>+IF(X106+[1]SADC!X106-[1]SADC!W106-W106&gt;0,X106+[1]SADC!X106-[1]SADC!W106-W106,0)</f>
        <v>0</v>
      </c>
      <c r="AA106" s="182">
        <f>+IF(Y106+[1]SADC!Y106-[1]SADC!Z106-Z106&gt;0,Y106+[1]SADC!Y106-[1]SADC!Z106-Z106,0)</f>
        <v>218000</v>
      </c>
      <c r="AB106" s="182">
        <f>+IF(Z106+[1]SADC!Z106-[1]SADC!Y106-Y106&gt;0,Z106+[1]SADC!Z106-[1]SADC!Y106-Y106,0)</f>
        <v>0</v>
      </c>
      <c r="AC106" s="181"/>
      <c r="AD106" s="182">
        <f t="shared" si="1"/>
        <v>218000</v>
      </c>
      <c r="AE106" s="182">
        <f t="shared" si="1"/>
        <v>0</v>
      </c>
      <c r="AF106" s="181"/>
    </row>
    <row r="107" spans="1:32">
      <c r="A107" s="181" t="str">
        <f>+VLOOKUP(B107,'[1]coa-mgb'!A$1:B$65536,2,0)</f>
        <v>Representation Allowance (RA)</v>
      </c>
      <c r="B107" s="184" t="s">
        <v>133</v>
      </c>
      <c r="C107" s="182">
        <f>+SUMIFS('[1]50102020 00'!$F$1:$F$65536,'[1]50102020 00'!$D$1:$D$65536,"Beginning Balance",'[1]50102020 00'!$D$1:$D$65536,"Beginning Balance")</f>
        <v>0</v>
      </c>
      <c r="D107" s="182">
        <f>+SUMIFS('[1]50102020 00'!$H$1:$H$65536,'[1]50102020 00'!$D$1:$D$65536,"Beginning Balance",'[1]50102020 00'!$D$1:$D$65536,"Beginning Balance")</f>
        <v>0</v>
      </c>
      <c r="E107" s="182">
        <f>+IF(C107+[1]SADC!C107-[1]SADC!D107-D107&gt;0,C107+[1]SADC!C107-[1]SADC!D107-D107,0)</f>
        <v>10000</v>
      </c>
      <c r="F107" s="182">
        <f>+IF(D107+[1]SADC!D107-[1]SADC!C107-C107&gt;0,D107+[1]SADC!D107-[1]SADC!C107-C107,0)</f>
        <v>0</v>
      </c>
      <c r="G107" s="182">
        <f>+IF(E107+[1]SADC!E107-[1]SADC!F107-F107&gt;0,E107+[1]SADC!E107-[1]SADC!F107-F107,0)</f>
        <v>30000</v>
      </c>
      <c r="H107" s="182">
        <f>+IF(F107+[1]SADC!F107-[1]SADC!E107-E107&gt;0,F107+[1]SADC!F107-[1]SADC!E107-E107,0)</f>
        <v>0</v>
      </c>
      <c r="I107" s="182">
        <f>+IF(G107+[1]SADC!G107-[1]SADC!H107-H107&gt;0,G107+[1]SADC!G107-[1]SADC!H107-H107,0)</f>
        <v>62000</v>
      </c>
      <c r="J107" s="182">
        <f>+IF(H107+[1]SADC!H107-[1]SADC!G107-G107&gt;0,H107+[1]SADC!H107-[1]SADC!G107-G107,0)</f>
        <v>0</v>
      </c>
      <c r="K107" s="182">
        <f>+IF(I107+[1]SADC!I107-[1]SADC!J107-J107&gt;0,I107+[1]SADC!I107-[1]SADC!J107-J107,0)</f>
        <v>62000</v>
      </c>
      <c r="L107" s="182">
        <f>+IF(J107+[1]SADC!J107-[1]SADC!I107-I107&gt;0,J107+[1]SADC!J107-[1]SADC!I107-I107,0)</f>
        <v>0</v>
      </c>
      <c r="M107" s="182">
        <f>+IF(K107+[1]SADC!K107-[1]SADC!L107-L107&gt;0,K107+[1]SADC!K107-[1]SADC!L107-L107,0)</f>
        <v>62000</v>
      </c>
      <c r="N107" s="182">
        <f>+IF(L107+[1]SADC!L107-[1]SADC!K107-K107&gt;0,L107+[1]SADC!L107-[1]SADC!K107-K107,0)</f>
        <v>0</v>
      </c>
      <c r="O107" s="182">
        <f>+IF(M107+[1]SADC!M107-[1]SADC!N107-N107&gt;0,M107+[1]SADC!M107-[1]SADC!N107-N107,0)</f>
        <v>62000</v>
      </c>
      <c r="P107" s="182">
        <f>+IF(N107+[1]SADC!N107-[1]SADC!M107-M107&gt;0,N107+[1]SADC!N107-[1]SADC!M107-M107,0)</f>
        <v>0</v>
      </c>
      <c r="Q107" s="182">
        <f>+IF(O107+[1]SADC!O107-[1]SADC!P107-P107&gt;0,O107+[1]SADC!O107-[1]SADC!P107-P107,0)</f>
        <v>62000</v>
      </c>
      <c r="R107" s="182">
        <f>+IF(P107+[1]SADC!P107-[1]SADC!O107-O107&gt;0,P107+[1]SADC!P107-[1]SADC!O107-O107,0)</f>
        <v>0</v>
      </c>
      <c r="S107" s="182">
        <f>+IF(Q107+[1]SADC!Q107-[1]SADC!R107-R107&gt;0,Q107+[1]SADC!Q107-[1]SADC!R107-R107,0)</f>
        <v>62000</v>
      </c>
      <c r="T107" s="182">
        <f>+IF(R107+[1]SADC!R107-[1]SADC!Q107-Q107&gt;0,R107+[1]SADC!R107-[1]SADC!Q107-Q107,0)</f>
        <v>0</v>
      </c>
      <c r="U107" s="182">
        <f>+IF(S107+[1]SADC!S107-[1]SADC!T107-T107&gt;0,S107+[1]SADC!S107-[1]SADC!T107-T107,0)</f>
        <v>62000</v>
      </c>
      <c r="V107" s="182">
        <f>+IF(T107+[1]SADC!T107-[1]SADC!S107-S107&gt;0,T107+[1]SADC!T107-[1]SADC!S107-S107,0)</f>
        <v>0</v>
      </c>
      <c r="W107" s="182">
        <f>+IF(U107+[1]SADC!U107-[1]SADC!V107-V107&gt;0,U107+[1]SADC!U107-[1]SADC!V107-V107,0)</f>
        <v>62000</v>
      </c>
      <c r="X107" s="182">
        <f>+IF(V107+[1]SADC!V107-[1]SADC!U107-U107&gt;0,V107+[1]SADC!V107-[1]SADC!U107-U107,0)</f>
        <v>0</v>
      </c>
      <c r="Y107" s="182">
        <f>+IF(W107+[1]SADC!W107-[1]SADC!X107-X107&gt;0,W107+[1]SADC!W107-[1]SADC!X107-X107,0)</f>
        <v>62000</v>
      </c>
      <c r="Z107" s="182">
        <f>+IF(X107+[1]SADC!X107-[1]SADC!W107-W107&gt;0,X107+[1]SADC!X107-[1]SADC!W107-W107,0)</f>
        <v>0</v>
      </c>
      <c r="AA107" s="182">
        <f>+IF(Y107+[1]SADC!Y107-[1]SADC!Z107-Z107&gt;0,Y107+[1]SADC!Y107-[1]SADC!Z107-Z107,0)</f>
        <v>62000</v>
      </c>
      <c r="AB107" s="182">
        <f>+IF(Z107+[1]SADC!Z107-[1]SADC!Y107-Y107&gt;0,Z107+[1]SADC!Z107-[1]SADC!Y107-Y107,0)</f>
        <v>0</v>
      </c>
      <c r="AC107" s="181"/>
      <c r="AD107" s="182">
        <f t="shared" si="1"/>
        <v>62000</v>
      </c>
      <c r="AE107" s="182">
        <f t="shared" si="1"/>
        <v>0</v>
      </c>
      <c r="AF107" s="181"/>
    </row>
    <row r="108" spans="1:32">
      <c r="A108" s="181" t="str">
        <f>+VLOOKUP(B108,'[1]coa-mgb'!A$1:B$65536,2,0)</f>
        <v>Transportation Allowance(TA)</v>
      </c>
      <c r="B108" s="184" t="s">
        <v>134</v>
      </c>
      <c r="C108" s="182">
        <f>+SUMIFS('[1]50102030 00'!$F$1:$F$65536,'[1]50102030 00'!$D$1:$D$65536,"Beginning Balance",'[1]50102030 00'!$D$1:$D$65536,"Beginning Balance")</f>
        <v>0</v>
      </c>
      <c r="D108" s="182">
        <f>+SUMIFS('[1]50102030 00'!$H$1:$H$65536,'[1]50102030 00'!$D$1:$D$65536,"Beginning Balance",'[1]50102030 00'!$D$1:$D$65536,"Beginning Balance")</f>
        <v>0</v>
      </c>
      <c r="E108" s="182">
        <f>+IF(C108+[1]SADC!C108-[1]SADC!D108-D108&gt;0,C108+[1]SADC!C108-[1]SADC!D108-D108,0)</f>
        <v>10000</v>
      </c>
      <c r="F108" s="182">
        <f>+IF(D108+[1]SADC!D108-[1]SADC!C108-C108&gt;0,D108+[1]SADC!D108-[1]SADC!C108-C108,0)</f>
        <v>0</v>
      </c>
      <c r="G108" s="182">
        <f>+IF(E108+[1]SADC!E108-[1]SADC!F108-F108&gt;0,E108+[1]SADC!E108-[1]SADC!F108-F108,0)</f>
        <v>30000</v>
      </c>
      <c r="H108" s="182">
        <f>+IF(F108+[1]SADC!F108-[1]SADC!E108-E108&gt;0,F108+[1]SADC!F108-[1]SADC!E108-E108,0)</f>
        <v>0</v>
      </c>
      <c r="I108" s="182">
        <f>+IF(G108+[1]SADC!G108-[1]SADC!H108-H108&gt;0,G108+[1]SADC!G108-[1]SADC!H108-H108,0)</f>
        <v>62000</v>
      </c>
      <c r="J108" s="182">
        <f>+IF(H108+[1]SADC!H108-[1]SADC!G108-G108&gt;0,H108+[1]SADC!H108-[1]SADC!G108-G108,0)</f>
        <v>0</v>
      </c>
      <c r="K108" s="182">
        <f>+IF(I108+[1]SADC!I108-[1]SADC!J108-J108&gt;0,I108+[1]SADC!I108-[1]SADC!J108-J108,0)</f>
        <v>62000</v>
      </c>
      <c r="L108" s="182">
        <f>+IF(J108+[1]SADC!J108-[1]SADC!I108-I108&gt;0,J108+[1]SADC!J108-[1]SADC!I108-I108,0)</f>
        <v>0</v>
      </c>
      <c r="M108" s="182">
        <f>+IF(K108+[1]SADC!K108-[1]SADC!L108-L108&gt;0,K108+[1]SADC!K108-[1]SADC!L108-L108,0)</f>
        <v>62000</v>
      </c>
      <c r="N108" s="182">
        <f>+IF(L108+[1]SADC!L108-[1]SADC!K108-K108&gt;0,L108+[1]SADC!L108-[1]SADC!K108-K108,0)</f>
        <v>0</v>
      </c>
      <c r="O108" s="182">
        <f>+IF(M108+[1]SADC!M108-[1]SADC!N108-N108&gt;0,M108+[1]SADC!M108-[1]SADC!N108-N108,0)</f>
        <v>62000</v>
      </c>
      <c r="P108" s="182">
        <f>+IF(N108+[1]SADC!N108-[1]SADC!M108-M108&gt;0,N108+[1]SADC!N108-[1]SADC!M108-M108,0)</f>
        <v>0</v>
      </c>
      <c r="Q108" s="182">
        <f>+IF(O108+[1]SADC!O108-[1]SADC!P108-P108&gt;0,O108+[1]SADC!O108-[1]SADC!P108-P108,0)</f>
        <v>62000</v>
      </c>
      <c r="R108" s="182">
        <f>+IF(P108+[1]SADC!P108-[1]SADC!O108-O108&gt;0,P108+[1]SADC!P108-[1]SADC!O108-O108,0)</f>
        <v>0</v>
      </c>
      <c r="S108" s="182">
        <f>+IF(Q108+[1]SADC!Q108-[1]SADC!R108-R108&gt;0,Q108+[1]SADC!Q108-[1]SADC!R108-R108,0)</f>
        <v>62000</v>
      </c>
      <c r="T108" s="182">
        <f>+IF(R108+[1]SADC!R108-[1]SADC!Q108-Q108&gt;0,R108+[1]SADC!R108-[1]SADC!Q108-Q108,0)</f>
        <v>0</v>
      </c>
      <c r="U108" s="182">
        <f>+IF(S108+[1]SADC!S108-[1]SADC!T108-T108&gt;0,S108+[1]SADC!S108-[1]SADC!T108-T108,0)</f>
        <v>62000</v>
      </c>
      <c r="V108" s="182">
        <f>+IF(T108+[1]SADC!T108-[1]SADC!S108-S108&gt;0,T108+[1]SADC!T108-[1]SADC!S108-S108,0)</f>
        <v>0</v>
      </c>
      <c r="W108" s="182">
        <f>+IF(U108+[1]SADC!U108-[1]SADC!V108-V108&gt;0,U108+[1]SADC!U108-[1]SADC!V108-V108,0)</f>
        <v>62000</v>
      </c>
      <c r="X108" s="182">
        <f>+IF(V108+[1]SADC!V108-[1]SADC!U108-U108&gt;0,V108+[1]SADC!V108-[1]SADC!U108-U108,0)</f>
        <v>0</v>
      </c>
      <c r="Y108" s="182">
        <f>+IF(W108+[1]SADC!W108-[1]SADC!X108-X108&gt;0,W108+[1]SADC!W108-[1]SADC!X108-X108,0)</f>
        <v>62000</v>
      </c>
      <c r="Z108" s="182">
        <f>+IF(X108+[1]SADC!X108-[1]SADC!W108-W108&gt;0,X108+[1]SADC!X108-[1]SADC!W108-W108,0)</f>
        <v>0</v>
      </c>
      <c r="AA108" s="182">
        <f>+IF(Y108+[1]SADC!Y108-[1]SADC!Z108-Z108&gt;0,Y108+[1]SADC!Y108-[1]SADC!Z108-Z108,0)</f>
        <v>62000</v>
      </c>
      <c r="AB108" s="182">
        <f>+IF(Z108+[1]SADC!Z108-[1]SADC!Y108-Y108&gt;0,Z108+[1]SADC!Z108-[1]SADC!Y108-Y108,0)</f>
        <v>0</v>
      </c>
      <c r="AC108" s="181"/>
      <c r="AD108" s="182">
        <f t="shared" si="1"/>
        <v>62000</v>
      </c>
      <c r="AE108" s="182">
        <f t="shared" si="1"/>
        <v>0</v>
      </c>
      <c r="AF108" s="181"/>
    </row>
    <row r="109" spans="1:32">
      <c r="A109" s="181" t="str">
        <f>+VLOOKUP(B109,'[1]coa-mgb'!A$1:B$65536,2,0)</f>
        <v>Clothing/ Uniform Allowance</v>
      </c>
      <c r="B109" s="184" t="s">
        <v>135</v>
      </c>
      <c r="C109" s="182">
        <f>+SUMIFS('[1]50102040 00'!$F$1:$F$65536,'[1]50102040 00'!$D$1:$D$65536,"Beginning Balance",'[1]50102040 00'!$D$1:$D$65536,"Beginning Balance")</f>
        <v>0</v>
      </c>
      <c r="D109" s="182">
        <f>+SUMIFS('[1]50102040 00'!$H$1:$H$65536,'[1]50102040 00'!$D$1:$D$65536,"Beginning Balance",'[1]50102040 00'!$D$1:$D$65536,"Beginning Balance")</f>
        <v>0</v>
      </c>
      <c r="E109" s="182">
        <f>+IF(C109+[1]SADC!C109-[1]SADC!D109-D109&gt;0,C109+[1]SADC!C109-[1]SADC!D109-D109,0)</f>
        <v>0</v>
      </c>
      <c r="F109" s="182">
        <f>+IF(D109+[1]SADC!D109-[1]SADC!C109-C109&gt;0,D109+[1]SADC!D109-[1]SADC!C109-C109,0)</f>
        <v>0</v>
      </c>
      <c r="G109" s="182">
        <f>+IF(E109+[1]SADC!E109-[1]SADC!F109-F109&gt;0,E109+[1]SADC!E109-[1]SADC!F109-F109,0)</f>
        <v>187000</v>
      </c>
      <c r="H109" s="182">
        <f>+IF(F109+[1]SADC!F109-[1]SADC!E109-E109&gt;0,F109+[1]SADC!F109-[1]SADC!E109-E109,0)</f>
        <v>0</v>
      </c>
      <c r="I109" s="182">
        <f>+IF(G109+[1]SADC!G109-[1]SADC!H109-H109&gt;0,G109+[1]SADC!G109-[1]SADC!H109-H109,0)</f>
        <v>187000</v>
      </c>
      <c r="J109" s="182">
        <f>+IF(H109+[1]SADC!H109-[1]SADC!G109-G109&gt;0,H109+[1]SADC!H109-[1]SADC!G109-G109,0)</f>
        <v>0</v>
      </c>
      <c r="K109" s="182">
        <f>+IF(I109+[1]SADC!I109-[1]SADC!J109-J109&gt;0,I109+[1]SADC!I109-[1]SADC!J109-J109,0)</f>
        <v>187000</v>
      </c>
      <c r="L109" s="182">
        <f>+IF(J109+[1]SADC!J109-[1]SADC!I109-I109&gt;0,J109+[1]SADC!J109-[1]SADC!I109-I109,0)</f>
        <v>0</v>
      </c>
      <c r="M109" s="182">
        <f>+IF(K109+[1]SADC!K109-[1]SADC!L109-L109&gt;0,K109+[1]SADC!K109-[1]SADC!L109-L109,0)</f>
        <v>187000</v>
      </c>
      <c r="N109" s="182">
        <f>+IF(L109+[1]SADC!L109-[1]SADC!K109-K109&gt;0,L109+[1]SADC!L109-[1]SADC!K109-K109,0)</f>
        <v>0</v>
      </c>
      <c r="O109" s="182">
        <f>+IF(M109+[1]SADC!M109-[1]SADC!N109-N109&gt;0,M109+[1]SADC!M109-[1]SADC!N109-N109,0)</f>
        <v>187000</v>
      </c>
      <c r="P109" s="182">
        <f>+IF(N109+[1]SADC!N109-[1]SADC!M109-M109&gt;0,N109+[1]SADC!N109-[1]SADC!M109-M109,0)</f>
        <v>0</v>
      </c>
      <c r="Q109" s="182">
        <f>+IF(O109+[1]SADC!O109-[1]SADC!P109-P109&gt;0,O109+[1]SADC!O109-[1]SADC!P109-P109,0)</f>
        <v>187000</v>
      </c>
      <c r="R109" s="182">
        <f>+IF(P109+[1]SADC!P109-[1]SADC!O109-O109&gt;0,P109+[1]SADC!P109-[1]SADC!O109-O109,0)</f>
        <v>0</v>
      </c>
      <c r="S109" s="182">
        <f>+IF(Q109+[1]SADC!Q109-[1]SADC!R109-R109&gt;0,Q109+[1]SADC!Q109-[1]SADC!R109-R109,0)</f>
        <v>187000</v>
      </c>
      <c r="T109" s="182">
        <f>+IF(R109+[1]SADC!R109-[1]SADC!Q109-Q109&gt;0,R109+[1]SADC!R109-[1]SADC!Q109-Q109,0)</f>
        <v>0</v>
      </c>
      <c r="U109" s="182">
        <f>+IF(S109+[1]SADC!S109-[1]SADC!T109-T109&gt;0,S109+[1]SADC!S109-[1]SADC!T109-T109,0)</f>
        <v>187000</v>
      </c>
      <c r="V109" s="182">
        <f>+IF(T109+[1]SADC!T109-[1]SADC!S109-S109&gt;0,T109+[1]SADC!T109-[1]SADC!S109-S109,0)</f>
        <v>0</v>
      </c>
      <c r="W109" s="182">
        <f>+IF(U109+[1]SADC!U109-[1]SADC!V109-V109&gt;0,U109+[1]SADC!U109-[1]SADC!V109-V109,0)</f>
        <v>187000</v>
      </c>
      <c r="X109" s="182">
        <f>+IF(V109+[1]SADC!V109-[1]SADC!U109-U109&gt;0,V109+[1]SADC!V109-[1]SADC!U109-U109,0)</f>
        <v>0</v>
      </c>
      <c r="Y109" s="182">
        <f>+IF(W109+[1]SADC!W109-[1]SADC!X109-X109&gt;0,W109+[1]SADC!W109-[1]SADC!X109-X109,0)</f>
        <v>187000</v>
      </c>
      <c r="Z109" s="182">
        <f>+IF(X109+[1]SADC!X109-[1]SADC!W109-W109&gt;0,X109+[1]SADC!X109-[1]SADC!W109-W109,0)</f>
        <v>0</v>
      </c>
      <c r="AA109" s="182">
        <f>+IF(Y109+[1]SADC!Y109-[1]SADC!Z109-Z109&gt;0,Y109+[1]SADC!Y109-[1]SADC!Z109-Z109,0)</f>
        <v>187000</v>
      </c>
      <c r="AB109" s="182">
        <f>+IF(Z109+[1]SADC!Z109-[1]SADC!Y109-Y109&gt;0,Z109+[1]SADC!Z109-[1]SADC!Y109-Y109,0)</f>
        <v>0</v>
      </c>
      <c r="AC109" s="181"/>
      <c r="AD109" s="182">
        <f t="shared" si="1"/>
        <v>187000</v>
      </c>
      <c r="AE109" s="182">
        <f t="shared" si="1"/>
        <v>0</v>
      </c>
      <c r="AF109" s="181"/>
    </row>
    <row r="110" spans="1:32">
      <c r="A110" s="181" t="str">
        <f>+VLOOKUP(B110,'[1]coa-mgb'!A$1:B$65536,2,0)</f>
        <v>Subsistence Allowance</v>
      </c>
      <c r="B110" s="184" t="s">
        <v>136</v>
      </c>
      <c r="C110" s="182">
        <f>+SUMIFS('[1]50102050 00'!$F$1:$F$65536,'[1]50102050 00'!$D$1:$D$65536,"Beginning Balance",'[1]50102050 00'!$D$1:$D$65536,"Beginning Balance")</f>
        <v>0</v>
      </c>
      <c r="D110" s="182">
        <f>+SUMIFS('[1]50102050 00'!$H$1:$H$65536,'[1]50102050 00'!$D$1:$D$65536,"Beginning Balance",'[1]50102050 00'!$D$1:$D$65536,"Beginning Balance")</f>
        <v>0</v>
      </c>
      <c r="E110" s="182">
        <f>+IF(C110+[1]SADC!C110-[1]SADC!D110-D110&gt;0,C110+[1]SADC!C110-[1]SADC!D110-D110,0)</f>
        <v>0</v>
      </c>
      <c r="F110" s="182">
        <f>+IF(D110+[1]SADC!D110-[1]SADC!C110-C110&gt;0,D110+[1]SADC!D110-[1]SADC!C110-C110,0)</f>
        <v>0</v>
      </c>
      <c r="G110" s="182">
        <f>+IF(E110+[1]SADC!E110-[1]SADC!F110-F110&gt;0,E110+[1]SADC!E110-[1]SADC!F110-F110,0)</f>
        <v>0</v>
      </c>
      <c r="H110" s="182">
        <f>+IF(F110+[1]SADC!F110-[1]SADC!E110-E110&gt;0,F110+[1]SADC!F110-[1]SADC!E110-E110,0)</f>
        <v>0</v>
      </c>
      <c r="I110" s="182">
        <f>+IF(G110+[1]SADC!G110-[1]SADC!H110-H110&gt;0,G110+[1]SADC!G110-[1]SADC!H110-H110,0)</f>
        <v>0</v>
      </c>
      <c r="J110" s="182">
        <f>+IF(H110+[1]SADC!H110-[1]SADC!G110-G110&gt;0,H110+[1]SADC!H110-[1]SADC!G110-G110,0)</f>
        <v>0</v>
      </c>
      <c r="K110" s="182">
        <f>+IF(I110+[1]SADC!I110-[1]SADC!J110-J110&gt;0,I110+[1]SADC!I110-[1]SADC!J110-J110,0)</f>
        <v>0</v>
      </c>
      <c r="L110" s="182">
        <f>+IF(J110+[1]SADC!J110-[1]SADC!I110-I110&gt;0,J110+[1]SADC!J110-[1]SADC!I110-I110,0)</f>
        <v>0</v>
      </c>
      <c r="M110" s="182">
        <f>+IF(K110+[1]SADC!K110-[1]SADC!L110-L110&gt;0,K110+[1]SADC!K110-[1]SADC!L110-L110,0)</f>
        <v>0</v>
      </c>
      <c r="N110" s="182">
        <f>+IF(L110+[1]SADC!L110-[1]SADC!K110-K110&gt;0,L110+[1]SADC!L110-[1]SADC!K110-K110,0)</f>
        <v>0</v>
      </c>
      <c r="O110" s="182">
        <f>+IF(M110+[1]SADC!M110-[1]SADC!N110-N110&gt;0,M110+[1]SADC!M110-[1]SADC!N110-N110,0)</f>
        <v>0</v>
      </c>
      <c r="P110" s="182">
        <f>+IF(N110+[1]SADC!N110-[1]SADC!M110-M110&gt;0,N110+[1]SADC!N110-[1]SADC!M110-M110,0)</f>
        <v>0</v>
      </c>
      <c r="Q110" s="182">
        <f>+IF(O110+[1]SADC!O110-[1]SADC!P110-P110&gt;0,O110+[1]SADC!O110-[1]SADC!P110-P110,0)</f>
        <v>0</v>
      </c>
      <c r="R110" s="182">
        <f>+IF(P110+[1]SADC!P110-[1]SADC!O110-O110&gt;0,P110+[1]SADC!P110-[1]SADC!O110-O110,0)</f>
        <v>0</v>
      </c>
      <c r="S110" s="182">
        <f>+IF(Q110+[1]SADC!Q110-[1]SADC!R110-R110&gt;0,Q110+[1]SADC!Q110-[1]SADC!R110-R110,0)</f>
        <v>0</v>
      </c>
      <c r="T110" s="182">
        <f>+IF(R110+[1]SADC!R110-[1]SADC!Q110-Q110&gt;0,R110+[1]SADC!R110-[1]SADC!Q110-Q110,0)</f>
        <v>0</v>
      </c>
      <c r="U110" s="182">
        <f>+IF(S110+[1]SADC!S110-[1]SADC!T110-T110&gt;0,S110+[1]SADC!S110-[1]SADC!T110-T110,0)</f>
        <v>0</v>
      </c>
      <c r="V110" s="182">
        <f>+IF(T110+[1]SADC!T110-[1]SADC!S110-S110&gt;0,T110+[1]SADC!T110-[1]SADC!S110-S110,0)</f>
        <v>0</v>
      </c>
      <c r="W110" s="182">
        <f>+IF(U110+[1]SADC!U110-[1]SADC!V110-V110&gt;0,U110+[1]SADC!U110-[1]SADC!V110-V110,0)</f>
        <v>0</v>
      </c>
      <c r="X110" s="182">
        <f>+IF(V110+[1]SADC!V110-[1]SADC!U110-U110&gt;0,V110+[1]SADC!V110-[1]SADC!U110-U110,0)</f>
        <v>0</v>
      </c>
      <c r="Y110" s="182">
        <f>+IF(W110+[1]SADC!W110-[1]SADC!X110-X110&gt;0,W110+[1]SADC!W110-[1]SADC!X110-X110,0)</f>
        <v>0</v>
      </c>
      <c r="Z110" s="182">
        <f>+IF(X110+[1]SADC!X110-[1]SADC!W110-W110&gt;0,X110+[1]SADC!X110-[1]SADC!W110-W110,0)</f>
        <v>0</v>
      </c>
      <c r="AA110" s="182">
        <f>+IF(Y110+[1]SADC!Y110-[1]SADC!Z110-Z110&gt;0,Y110+[1]SADC!Y110-[1]SADC!Z110-Z110,0)</f>
        <v>0</v>
      </c>
      <c r="AB110" s="182">
        <f>+IF(Z110+[1]SADC!Z110-[1]SADC!Y110-Y110&gt;0,Z110+[1]SADC!Z110-[1]SADC!Y110-Y110,0)</f>
        <v>0</v>
      </c>
      <c r="AC110" s="181"/>
      <c r="AD110" s="182">
        <f t="shared" si="1"/>
        <v>0</v>
      </c>
      <c r="AE110" s="182">
        <f t="shared" si="1"/>
        <v>0</v>
      </c>
      <c r="AF110" s="181"/>
    </row>
    <row r="111" spans="1:32">
      <c r="A111" s="181" t="str">
        <f>+VLOOKUP(B111,'[1]coa-mgb'!A$1:B$65536,2,0)</f>
        <v>Laundry Allowance</v>
      </c>
      <c r="B111" s="184" t="s">
        <v>137</v>
      </c>
      <c r="C111" s="182">
        <f>+SUMIFS('[1]50102060 00'!$F$1:$F$65536,'[1]50102060 00'!$D$1:$D$65536,"Beginning Balance",'[1]50102060 00'!$D$1:$D$65536,"Beginning Balance")</f>
        <v>0</v>
      </c>
      <c r="D111" s="182">
        <f>+SUMIFS('[1]50102060 00'!$H$1:$H$65536,'[1]50102060 00'!$D$1:$D$65536,"Beginning Balance",'[1]50102060 00'!$D$1:$D$65536,"Beginning Balance")</f>
        <v>0</v>
      </c>
      <c r="E111" s="182">
        <f>+IF(C111+[1]SADC!C111-[1]SADC!D111-D111&gt;0,C111+[1]SADC!C111-[1]SADC!D111-D111,0)</f>
        <v>0</v>
      </c>
      <c r="F111" s="182">
        <f>+IF(D111+[1]SADC!D111-[1]SADC!C111-C111&gt;0,D111+[1]SADC!D111-[1]SADC!C111-C111,0)</f>
        <v>0</v>
      </c>
      <c r="G111" s="182">
        <f>+IF(E111+[1]SADC!E111-[1]SADC!F111-F111&gt;0,E111+[1]SADC!E111-[1]SADC!F111-F111,0)</f>
        <v>0</v>
      </c>
      <c r="H111" s="182">
        <f>+IF(F111+[1]SADC!F111-[1]SADC!E111-E111&gt;0,F111+[1]SADC!F111-[1]SADC!E111-E111,0)</f>
        <v>0</v>
      </c>
      <c r="I111" s="182">
        <f>+IF(G111+[1]SADC!G111-[1]SADC!H111-H111&gt;0,G111+[1]SADC!G111-[1]SADC!H111-H111,0)</f>
        <v>0</v>
      </c>
      <c r="J111" s="182">
        <f>+IF(H111+[1]SADC!H111-[1]SADC!G111-G111&gt;0,H111+[1]SADC!H111-[1]SADC!G111-G111,0)</f>
        <v>0</v>
      </c>
      <c r="K111" s="182">
        <f>+IF(I111+[1]SADC!I111-[1]SADC!J111-J111&gt;0,I111+[1]SADC!I111-[1]SADC!J111-J111,0)</f>
        <v>0</v>
      </c>
      <c r="L111" s="182">
        <f>+IF(J111+[1]SADC!J111-[1]SADC!I111-I111&gt;0,J111+[1]SADC!J111-[1]SADC!I111-I111,0)</f>
        <v>0</v>
      </c>
      <c r="M111" s="182">
        <f>+IF(K111+[1]SADC!K111-[1]SADC!L111-L111&gt;0,K111+[1]SADC!K111-[1]SADC!L111-L111,0)</f>
        <v>0</v>
      </c>
      <c r="N111" s="182">
        <f>+IF(L111+[1]SADC!L111-[1]SADC!K111-K111&gt;0,L111+[1]SADC!L111-[1]SADC!K111-K111,0)</f>
        <v>0</v>
      </c>
      <c r="O111" s="182">
        <f>+IF(M111+[1]SADC!M111-[1]SADC!N111-N111&gt;0,M111+[1]SADC!M111-[1]SADC!N111-N111,0)</f>
        <v>0</v>
      </c>
      <c r="P111" s="182">
        <f>+IF(N111+[1]SADC!N111-[1]SADC!M111-M111&gt;0,N111+[1]SADC!N111-[1]SADC!M111-M111,0)</f>
        <v>0</v>
      </c>
      <c r="Q111" s="182">
        <f>+IF(O111+[1]SADC!O111-[1]SADC!P111-P111&gt;0,O111+[1]SADC!O111-[1]SADC!P111-P111,0)</f>
        <v>0</v>
      </c>
      <c r="R111" s="182">
        <f>+IF(P111+[1]SADC!P111-[1]SADC!O111-O111&gt;0,P111+[1]SADC!P111-[1]SADC!O111-O111,0)</f>
        <v>0</v>
      </c>
      <c r="S111" s="182">
        <f>+IF(Q111+[1]SADC!Q111-[1]SADC!R111-R111&gt;0,Q111+[1]SADC!Q111-[1]SADC!R111-R111,0)</f>
        <v>0</v>
      </c>
      <c r="T111" s="182">
        <f>+IF(R111+[1]SADC!R111-[1]SADC!Q111-Q111&gt;0,R111+[1]SADC!R111-[1]SADC!Q111-Q111,0)</f>
        <v>0</v>
      </c>
      <c r="U111" s="182">
        <f>+IF(S111+[1]SADC!S111-[1]SADC!T111-T111&gt;0,S111+[1]SADC!S111-[1]SADC!T111-T111,0)</f>
        <v>0</v>
      </c>
      <c r="V111" s="182">
        <f>+IF(T111+[1]SADC!T111-[1]SADC!S111-S111&gt;0,T111+[1]SADC!T111-[1]SADC!S111-S111,0)</f>
        <v>0</v>
      </c>
      <c r="W111" s="182">
        <f>+IF(U111+[1]SADC!U111-[1]SADC!V111-V111&gt;0,U111+[1]SADC!U111-[1]SADC!V111-V111,0)</f>
        <v>0</v>
      </c>
      <c r="X111" s="182">
        <f>+IF(V111+[1]SADC!V111-[1]SADC!U111-U111&gt;0,V111+[1]SADC!V111-[1]SADC!U111-U111,0)</f>
        <v>0</v>
      </c>
      <c r="Y111" s="182">
        <f>+IF(W111+[1]SADC!W111-[1]SADC!X111-X111&gt;0,W111+[1]SADC!W111-[1]SADC!X111-X111,0)</f>
        <v>0</v>
      </c>
      <c r="Z111" s="182">
        <f>+IF(X111+[1]SADC!X111-[1]SADC!W111-W111&gt;0,X111+[1]SADC!X111-[1]SADC!W111-W111,0)</f>
        <v>0</v>
      </c>
      <c r="AA111" s="182">
        <f>+IF(Y111+[1]SADC!Y111-[1]SADC!Z111-Z111&gt;0,Y111+[1]SADC!Y111-[1]SADC!Z111-Z111,0)</f>
        <v>0</v>
      </c>
      <c r="AB111" s="182">
        <f>+IF(Z111+[1]SADC!Z111-[1]SADC!Y111-Y111&gt;0,Z111+[1]SADC!Z111-[1]SADC!Y111-Y111,0)</f>
        <v>0</v>
      </c>
      <c r="AC111" s="181"/>
      <c r="AD111" s="182">
        <f t="shared" si="1"/>
        <v>0</v>
      </c>
      <c r="AE111" s="182">
        <f t="shared" si="1"/>
        <v>0</v>
      </c>
      <c r="AF111" s="181"/>
    </row>
    <row r="112" spans="1:32">
      <c r="A112" s="181" t="str">
        <f>+VLOOKUP(B112,'[1]coa-mgb'!A$1:B$65536,2,0)</f>
        <v>Quarters Allowance</v>
      </c>
      <c r="B112" s="184" t="s">
        <v>138</v>
      </c>
      <c r="C112" s="182">
        <f>+SUMIFS('[1]50102070 00'!$F$1:$F$65536,'[1]50102070 00'!$D$1:$D$65536,"Beginning Balance",'[1]50102070 00'!$D$1:$D$65536,"Beginning Balance")</f>
        <v>0</v>
      </c>
      <c r="D112" s="182">
        <f>+SUMIFS('[1]50102070 00'!$H$1:$H$65536,'[1]50102070 00'!$D$1:$D$65536,"Beginning Balance",'[1]50102070 00'!$D$1:$D$65536,"Beginning Balance")</f>
        <v>0</v>
      </c>
      <c r="E112" s="182">
        <f>+IF(C112+[1]SADC!C112-[1]SADC!D112-D112&gt;0,C112+[1]SADC!C112-[1]SADC!D112-D112,0)</f>
        <v>0</v>
      </c>
      <c r="F112" s="182">
        <f>+IF(D112+[1]SADC!D112-[1]SADC!C112-C112&gt;0,D112+[1]SADC!D112-[1]SADC!C112-C112,0)</f>
        <v>0</v>
      </c>
      <c r="G112" s="182">
        <f>+IF(E112+[1]SADC!E112-[1]SADC!F112-F112&gt;0,E112+[1]SADC!E112-[1]SADC!F112-F112,0)</f>
        <v>0</v>
      </c>
      <c r="H112" s="182">
        <f>+IF(F112+[1]SADC!F112-[1]SADC!E112-E112&gt;0,F112+[1]SADC!F112-[1]SADC!E112-E112,0)</f>
        <v>0</v>
      </c>
      <c r="I112" s="182">
        <f>+IF(G112+[1]SADC!G112-[1]SADC!H112-H112&gt;0,G112+[1]SADC!G112-[1]SADC!H112-H112,0)</f>
        <v>0</v>
      </c>
      <c r="J112" s="182">
        <f>+IF(H112+[1]SADC!H112-[1]SADC!G112-G112&gt;0,H112+[1]SADC!H112-[1]SADC!G112-G112,0)</f>
        <v>0</v>
      </c>
      <c r="K112" s="182">
        <f>+IF(I112+[1]SADC!I112-[1]SADC!J112-J112&gt;0,I112+[1]SADC!I112-[1]SADC!J112-J112,0)</f>
        <v>0</v>
      </c>
      <c r="L112" s="182">
        <f>+IF(J112+[1]SADC!J112-[1]SADC!I112-I112&gt;0,J112+[1]SADC!J112-[1]SADC!I112-I112,0)</f>
        <v>0</v>
      </c>
      <c r="M112" s="182">
        <f>+IF(K112+[1]SADC!K112-[1]SADC!L112-L112&gt;0,K112+[1]SADC!K112-[1]SADC!L112-L112,0)</f>
        <v>0</v>
      </c>
      <c r="N112" s="182">
        <f>+IF(L112+[1]SADC!L112-[1]SADC!K112-K112&gt;0,L112+[1]SADC!L112-[1]SADC!K112-K112,0)</f>
        <v>0</v>
      </c>
      <c r="O112" s="182">
        <f>+IF(M112+[1]SADC!M112-[1]SADC!N112-N112&gt;0,M112+[1]SADC!M112-[1]SADC!N112-N112,0)</f>
        <v>0</v>
      </c>
      <c r="P112" s="182">
        <f>+IF(N112+[1]SADC!N112-[1]SADC!M112-M112&gt;0,N112+[1]SADC!N112-[1]SADC!M112-M112,0)</f>
        <v>0</v>
      </c>
      <c r="Q112" s="182">
        <f>+IF(O112+[1]SADC!O112-[1]SADC!P112-P112&gt;0,O112+[1]SADC!O112-[1]SADC!P112-P112,0)</f>
        <v>0</v>
      </c>
      <c r="R112" s="182">
        <f>+IF(P112+[1]SADC!P112-[1]SADC!O112-O112&gt;0,P112+[1]SADC!P112-[1]SADC!O112-O112,0)</f>
        <v>0</v>
      </c>
      <c r="S112" s="182">
        <f>+IF(Q112+[1]SADC!Q112-[1]SADC!R112-R112&gt;0,Q112+[1]SADC!Q112-[1]SADC!R112-R112,0)</f>
        <v>0</v>
      </c>
      <c r="T112" s="182">
        <f>+IF(R112+[1]SADC!R112-[1]SADC!Q112-Q112&gt;0,R112+[1]SADC!R112-[1]SADC!Q112-Q112,0)</f>
        <v>0</v>
      </c>
      <c r="U112" s="182">
        <f>+IF(S112+[1]SADC!S112-[1]SADC!T112-T112&gt;0,S112+[1]SADC!S112-[1]SADC!T112-T112,0)</f>
        <v>0</v>
      </c>
      <c r="V112" s="182">
        <f>+IF(T112+[1]SADC!T112-[1]SADC!S112-S112&gt;0,T112+[1]SADC!T112-[1]SADC!S112-S112,0)</f>
        <v>0</v>
      </c>
      <c r="W112" s="182">
        <f>+IF(U112+[1]SADC!U112-[1]SADC!V112-V112&gt;0,U112+[1]SADC!U112-[1]SADC!V112-V112,0)</f>
        <v>0</v>
      </c>
      <c r="X112" s="182">
        <f>+IF(V112+[1]SADC!V112-[1]SADC!U112-U112&gt;0,V112+[1]SADC!V112-[1]SADC!U112-U112,0)</f>
        <v>0</v>
      </c>
      <c r="Y112" s="182">
        <f>+IF(W112+[1]SADC!W112-[1]SADC!X112-X112&gt;0,W112+[1]SADC!W112-[1]SADC!X112-X112,0)</f>
        <v>0</v>
      </c>
      <c r="Z112" s="182">
        <f>+IF(X112+[1]SADC!X112-[1]SADC!W112-W112&gt;0,X112+[1]SADC!X112-[1]SADC!W112-W112,0)</f>
        <v>0</v>
      </c>
      <c r="AA112" s="182">
        <f>+IF(Y112+[1]SADC!Y112-[1]SADC!Z112-Z112&gt;0,Y112+[1]SADC!Y112-[1]SADC!Z112-Z112,0)</f>
        <v>0</v>
      </c>
      <c r="AB112" s="182">
        <f>+IF(Z112+[1]SADC!Z112-[1]SADC!Y112-Y112&gt;0,Z112+[1]SADC!Z112-[1]SADC!Y112-Y112,0)</f>
        <v>0</v>
      </c>
      <c r="AC112" s="181"/>
      <c r="AD112" s="182">
        <f t="shared" si="1"/>
        <v>0</v>
      </c>
      <c r="AE112" s="182">
        <f t="shared" si="1"/>
        <v>0</v>
      </c>
      <c r="AF112" s="181"/>
    </row>
    <row r="113" spans="1:32">
      <c r="A113" s="181" t="str">
        <f>+VLOOKUP(B113,'[1]coa-mgb'!A$1:B$65536,2,0)</f>
        <v>Productivity Incentive Allowance</v>
      </c>
      <c r="B113" s="184" t="s">
        <v>139</v>
      </c>
      <c r="C113" s="182">
        <f>+SUMIFS('[1]50102080 00'!$F$1:$F$65536,'[1]50102080 00'!$D$1:$D$65536,"Beginning Balance",'[1]50102080 00'!$D$1:$D$65536,"Beginning Balance")</f>
        <v>0</v>
      </c>
      <c r="D113" s="182">
        <f>+SUMIFS('[1]50102080 00'!$H$1:$H$65536,'[1]50102080 00'!$D$1:$D$65536,"Beginning Balance",'[1]50102080 00'!$D$1:$D$65536,"Beginning Balance")</f>
        <v>0</v>
      </c>
      <c r="E113" s="182">
        <f>+IF(C113+[1]SADC!C113-[1]SADC!D113-D113&gt;0,C113+[1]SADC!C113-[1]SADC!D113-D113,0)</f>
        <v>0</v>
      </c>
      <c r="F113" s="182">
        <f>+IF(D113+[1]SADC!D113-[1]SADC!C113-C113&gt;0,D113+[1]SADC!D113-[1]SADC!C113-C113,0)</f>
        <v>0</v>
      </c>
      <c r="G113" s="182">
        <f>+IF(E113+[1]SADC!E113-[1]SADC!F113-F113&gt;0,E113+[1]SADC!E113-[1]SADC!F113-F113,0)</f>
        <v>0</v>
      </c>
      <c r="H113" s="182">
        <f>+IF(F113+[1]SADC!F113-[1]SADC!E113-E113&gt;0,F113+[1]SADC!F113-[1]SADC!E113-E113,0)</f>
        <v>0</v>
      </c>
      <c r="I113" s="182">
        <f>+IF(G113+[1]SADC!G113-[1]SADC!H113-H113&gt;0,G113+[1]SADC!G113-[1]SADC!H113-H113,0)</f>
        <v>0</v>
      </c>
      <c r="J113" s="182">
        <f>+IF(H113+[1]SADC!H113-[1]SADC!G113-G113&gt;0,H113+[1]SADC!H113-[1]SADC!G113-G113,0)</f>
        <v>0</v>
      </c>
      <c r="K113" s="182">
        <f>+IF(I113+[1]SADC!I113-[1]SADC!J113-J113&gt;0,I113+[1]SADC!I113-[1]SADC!J113-J113,0)</f>
        <v>0</v>
      </c>
      <c r="L113" s="182">
        <f>+IF(J113+[1]SADC!J113-[1]SADC!I113-I113&gt;0,J113+[1]SADC!J113-[1]SADC!I113-I113,0)</f>
        <v>0</v>
      </c>
      <c r="M113" s="182">
        <f>+IF(K113+[1]SADC!K113-[1]SADC!L113-L113&gt;0,K113+[1]SADC!K113-[1]SADC!L113-L113,0)</f>
        <v>0</v>
      </c>
      <c r="N113" s="182">
        <f>+IF(L113+[1]SADC!L113-[1]SADC!K113-K113&gt;0,L113+[1]SADC!L113-[1]SADC!K113-K113,0)</f>
        <v>0</v>
      </c>
      <c r="O113" s="182">
        <f>+IF(M113+[1]SADC!M113-[1]SADC!N113-N113&gt;0,M113+[1]SADC!M113-[1]SADC!N113-N113,0)</f>
        <v>0</v>
      </c>
      <c r="P113" s="182">
        <f>+IF(N113+[1]SADC!N113-[1]SADC!M113-M113&gt;0,N113+[1]SADC!N113-[1]SADC!M113-M113,0)</f>
        <v>0</v>
      </c>
      <c r="Q113" s="182">
        <f>+IF(O113+[1]SADC!O113-[1]SADC!P113-P113&gt;0,O113+[1]SADC!O113-[1]SADC!P113-P113,0)</f>
        <v>0</v>
      </c>
      <c r="R113" s="182">
        <f>+IF(P113+[1]SADC!P113-[1]SADC!O113-O113&gt;0,P113+[1]SADC!P113-[1]SADC!O113-O113,0)</f>
        <v>0</v>
      </c>
      <c r="S113" s="182">
        <f>+IF(Q113+[1]SADC!Q113-[1]SADC!R113-R113&gt;0,Q113+[1]SADC!Q113-[1]SADC!R113-R113,0)</f>
        <v>0</v>
      </c>
      <c r="T113" s="182">
        <f>+IF(R113+[1]SADC!R113-[1]SADC!Q113-Q113&gt;0,R113+[1]SADC!R113-[1]SADC!Q113-Q113,0)</f>
        <v>0</v>
      </c>
      <c r="U113" s="182">
        <f>+IF(S113+[1]SADC!S113-[1]SADC!T113-T113&gt;0,S113+[1]SADC!S113-[1]SADC!T113-T113,0)</f>
        <v>0</v>
      </c>
      <c r="V113" s="182">
        <f>+IF(T113+[1]SADC!T113-[1]SADC!S113-S113&gt;0,T113+[1]SADC!T113-[1]SADC!S113-S113,0)</f>
        <v>0</v>
      </c>
      <c r="W113" s="182">
        <f>+IF(U113+[1]SADC!U113-[1]SADC!V113-V113&gt;0,U113+[1]SADC!U113-[1]SADC!V113-V113,0)</f>
        <v>0</v>
      </c>
      <c r="X113" s="182">
        <f>+IF(V113+[1]SADC!V113-[1]SADC!U113-U113&gt;0,V113+[1]SADC!V113-[1]SADC!U113-U113,0)</f>
        <v>0</v>
      </c>
      <c r="Y113" s="182">
        <f>+IF(W113+[1]SADC!W113-[1]SADC!X113-X113&gt;0,W113+[1]SADC!W113-[1]SADC!X113-X113,0)</f>
        <v>0</v>
      </c>
      <c r="Z113" s="182">
        <f>+IF(X113+[1]SADC!X113-[1]SADC!W113-W113&gt;0,X113+[1]SADC!X113-[1]SADC!W113-W113,0)</f>
        <v>0</v>
      </c>
      <c r="AA113" s="182">
        <f>+IF(Y113+[1]SADC!Y113-[1]SADC!Z113-Z113&gt;0,Y113+[1]SADC!Y113-[1]SADC!Z113-Z113,0)</f>
        <v>0</v>
      </c>
      <c r="AB113" s="182">
        <f>+IF(Z113+[1]SADC!Z113-[1]SADC!Y113-Y113&gt;0,Z113+[1]SADC!Z113-[1]SADC!Y113-Y113,0)</f>
        <v>0</v>
      </c>
      <c r="AC113" s="181"/>
      <c r="AD113" s="182">
        <f t="shared" si="1"/>
        <v>0</v>
      </c>
      <c r="AE113" s="182">
        <f t="shared" si="1"/>
        <v>0</v>
      </c>
      <c r="AF113" s="181"/>
    </row>
    <row r="114" spans="1:32">
      <c r="A114" s="181" t="str">
        <f>+VLOOKUP(B114,'[1]coa-mgb'!A$1:B$65536,2,0)</f>
        <v>Honoraria</v>
      </c>
      <c r="B114" s="184" t="s">
        <v>140</v>
      </c>
      <c r="C114" s="182">
        <f>+SUMIFS('[1]50102100 00'!$F$1:$F$65536,'[1]50102100 00'!$D$1:$D$65536,"Beginning Balance",'[1]50102100 00'!$D$1:$D$65536,"Beginning Balance")</f>
        <v>0</v>
      </c>
      <c r="D114" s="182">
        <f>+SUMIFS('[1]50102100 00'!$H$1:$H$65536,'[1]50102100 00'!$D$1:$D$65536,"Beginning Balance",'[1]50102100 00'!$D$1:$D$65536,"Beginning Balance")</f>
        <v>0</v>
      </c>
      <c r="E114" s="182">
        <f>+IF(C114+[1]SADC!C114-[1]SADC!D114-D114&gt;0,C114+[1]SADC!C114-[1]SADC!D114-D114,0)</f>
        <v>0</v>
      </c>
      <c r="F114" s="182">
        <f>+IF(D114+[1]SADC!D114-[1]SADC!C114-C114&gt;0,D114+[1]SADC!D114-[1]SADC!C114-C114,0)</f>
        <v>0</v>
      </c>
      <c r="G114" s="182">
        <f>+IF(E114+[1]SADC!E114-[1]SADC!F114-F114&gt;0,E114+[1]SADC!E114-[1]SADC!F114-F114,0)</f>
        <v>0</v>
      </c>
      <c r="H114" s="182">
        <f>+IF(F114+[1]SADC!F114-[1]SADC!E114-E114&gt;0,F114+[1]SADC!F114-[1]SADC!E114-E114,0)</f>
        <v>0</v>
      </c>
      <c r="I114" s="182">
        <f>+IF(G114+[1]SADC!G114-[1]SADC!H114-H114&gt;0,G114+[1]SADC!G114-[1]SADC!H114-H114,0)</f>
        <v>0</v>
      </c>
      <c r="J114" s="182">
        <f>+IF(H114+[1]SADC!H114-[1]SADC!G114-G114&gt;0,H114+[1]SADC!H114-[1]SADC!G114-G114,0)</f>
        <v>0</v>
      </c>
      <c r="K114" s="182">
        <f>+IF(I114+[1]SADC!I114-[1]SADC!J114-J114&gt;0,I114+[1]SADC!I114-[1]SADC!J114-J114,0)</f>
        <v>0</v>
      </c>
      <c r="L114" s="182">
        <f>+IF(J114+[1]SADC!J114-[1]SADC!I114-I114&gt;0,J114+[1]SADC!J114-[1]SADC!I114-I114,0)</f>
        <v>0</v>
      </c>
      <c r="M114" s="182">
        <f>+IF(K114+[1]SADC!K114-[1]SADC!L114-L114&gt;0,K114+[1]SADC!K114-[1]SADC!L114-L114,0)</f>
        <v>0</v>
      </c>
      <c r="N114" s="182">
        <f>+IF(L114+[1]SADC!L114-[1]SADC!K114-K114&gt;0,L114+[1]SADC!L114-[1]SADC!K114-K114,0)</f>
        <v>0</v>
      </c>
      <c r="O114" s="182">
        <f>+IF(M114+[1]SADC!M114-[1]SADC!N114-N114&gt;0,M114+[1]SADC!M114-[1]SADC!N114-N114,0)</f>
        <v>0</v>
      </c>
      <c r="P114" s="182">
        <f>+IF(N114+[1]SADC!N114-[1]SADC!M114-M114&gt;0,N114+[1]SADC!N114-[1]SADC!M114-M114,0)</f>
        <v>0</v>
      </c>
      <c r="Q114" s="182">
        <f>+IF(O114+[1]SADC!O114-[1]SADC!P114-P114&gt;0,O114+[1]SADC!O114-[1]SADC!P114-P114,0)</f>
        <v>0</v>
      </c>
      <c r="R114" s="182">
        <f>+IF(P114+[1]SADC!P114-[1]SADC!O114-O114&gt;0,P114+[1]SADC!P114-[1]SADC!O114-O114,0)</f>
        <v>0</v>
      </c>
      <c r="S114" s="182">
        <f>+IF(Q114+[1]SADC!Q114-[1]SADC!R114-R114&gt;0,Q114+[1]SADC!Q114-[1]SADC!R114-R114,0)</f>
        <v>0</v>
      </c>
      <c r="T114" s="182">
        <f>+IF(R114+[1]SADC!R114-[1]SADC!Q114-Q114&gt;0,R114+[1]SADC!R114-[1]SADC!Q114-Q114,0)</f>
        <v>0</v>
      </c>
      <c r="U114" s="182">
        <f>+IF(S114+[1]SADC!S114-[1]SADC!T114-T114&gt;0,S114+[1]SADC!S114-[1]SADC!T114-T114,0)</f>
        <v>0</v>
      </c>
      <c r="V114" s="182">
        <f>+IF(T114+[1]SADC!T114-[1]SADC!S114-S114&gt;0,T114+[1]SADC!T114-[1]SADC!S114-S114,0)</f>
        <v>0</v>
      </c>
      <c r="W114" s="182">
        <f>+IF(U114+[1]SADC!U114-[1]SADC!V114-V114&gt;0,U114+[1]SADC!U114-[1]SADC!V114-V114,0)</f>
        <v>0</v>
      </c>
      <c r="X114" s="182">
        <f>+IF(V114+[1]SADC!V114-[1]SADC!U114-U114&gt;0,V114+[1]SADC!V114-[1]SADC!U114-U114,0)</f>
        <v>0</v>
      </c>
      <c r="Y114" s="182">
        <f>+IF(W114+[1]SADC!W114-[1]SADC!X114-X114&gt;0,W114+[1]SADC!W114-[1]SADC!X114-X114,0)</f>
        <v>0</v>
      </c>
      <c r="Z114" s="182">
        <f>+IF(X114+[1]SADC!X114-[1]SADC!W114-W114&gt;0,X114+[1]SADC!X114-[1]SADC!W114-W114,0)</f>
        <v>0</v>
      </c>
      <c r="AA114" s="182">
        <f>+IF(Y114+[1]SADC!Y114-[1]SADC!Z114-Z114&gt;0,Y114+[1]SADC!Y114-[1]SADC!Z114-Z114,0)</f>
        <v>0</v>
      </c>
      <c r="AB114" s="182">
        <f>+IF(Z114+[1]SADC!Z114-[1]SADC!Y114-Y114&gt;0,Z114+[1]SADC!Z114-[1]SADC!Y114-Y114,0)</f>
        <v>0</v>
      </c>
      <c r="AC114" s="181"/>
      <c r="AD114" s="182">
        <f t="shared" si="1"/>
        <v>0</v>
      </c>
      <c r="AE114" s="182">
        <f t="shared" si="1"/>
        <v>0</v>
      </c>
      <c r="AF114" s="181"/>
    </row>
    <row r="115" spans="1:32">
      <c r="A115" s="181" t="str">
        <f>+VLOOKUP(B115,'[1]coa-mgb'!A$1:B$65536,2,0)</f>
        <v>Other Bonuses &amp; Allowances</v>
      </c>
      <c r="B115" s="184" t="s">
        <v>141</v>
      </c>
      <c r="C115" s="182">
        <f>+SUMIFS('[1]50102990 00'!$F$1:$F$65536,'[1]50102990 00'!$D$1:$D$65536,"Beginning Balance",'[1]50102990 00'!$D$1:$D$65536,"Beginning Balance")</f>
        <v>0</v>
      </c>
      <c r="D115" s="182">
        <f>+SUMIFS('[1]50102990 00'!$H$1:$H$65536,'[1]50102990 00'!$D$1:$D$65536,"Beginning Balance",'[1]50102990 00'!$D$1:$D$65536,"Beginning Balance")</f>
        <v>0</v>
      </c>
      <c r="E115" s="182">
        <f>+IF(C115+[1]SADC!C115-[1]SADC!D115-D115&gt;0,C115+[1]SADC!C115-[1]SADC!D115-D115,0)</f>
        <v>0</v>
      </c>
      <c r="F115" s="182">
        <f>+IF(D115+[1]SADC!D115-[1]SADC!C115-C115&gt;0,D115+[1]SADC!D115-[1]SADC!C115-C115,0)</f>
        <v>0</v>
      </c>
      <c r="G115" s="182">
        <f>+IF(E115+[1]SADC!E115-[1]SADC!F115-F115&gt;0,E115+[1]SADC!E115-[1]SADC!F115-F115,0)</f>
        <v>0</v>
      </c>
      <c r="H115" s="182">
        <f>+IF(F115+[1]SADC!F115-[1]SADC!E115-E115&gt;0,F115+[1]SADC!F115-[1]SADC!E115-E115,0)</f>
        <v>0</v>
      </c>
      <c r="I115" s="182">
        <f>+IF(G115+[1]SADC!G115-[1]SADC!H115-H115&gt;0,G115+[1]SADC!G115-[1]SADC!H115-H115,0)</f>
        <v>0</v>
      </c>
      <c r="J115" s="182">
        <f>+IF(H115+[1]SADC!H115-[1]SADC!G115-G115&gt;0,H115+[1]SADC!H115-[1]SADC!G115-G115,0)</f>
        <v>0</v>
      </c>
      <c r="K115" s="182">
        <f>+IF(I115+[1]SADC!I115-[1]SADC!J115-J115&gt;0,I115+[1]SADC!I115-[1]SADC!J115-J115,0)</f>
        <v>0</v>
      </c>
      <c r="L115" s="182">
        <f>+IF(J115+[1]SADC!J115-[1]SADC!I115-I115&gt;0,J115+[1]SADC!J115-[1]SADC!I115-I115,0)</f>
        <v>0</v>
      </c>
      <c r="M115" s="182">
        <f>+IF(K115+[1]SADC!K115-[1]SADC!L115-L115&gt;0,K115+[1]SADC!K115-[1]SADC!L115-L115,0)</f>
        <v>0</v>
      </c>
      <c r="N115" s="182">
        <f>+IF(L115+[1]SADC!L115-[1]SADC!K115-K115&gt;0,L115+[1]SADC!L115-[1]SADC!K115-K115,0)</f>
        <v>0</v>
      </c>
      <c r="O115" s="182">
        <f>+IF(M115+[1]SADC!M115-[1]SADC!N115-N115&gt;0,M115+[1]SADC!M115-[1]SADC!N115-N115,0)</f>
        <v>0</v>
      </c>
      <c r="P115" s="182">
        <f>+IF(N115+[1]SADC!N115-[1]SADC!M115-M115&gt;0,N115+[1]SADC!N115-[1]SADC!M115-M115,0)</f>
        <v>0</v>
      </c>
      <c r="Q115" s="182">
        <f>+IF(O115+[1]SADC!O115-[1]SADC!P115-P115&gt;0,O115+[1]SADC!O115-[1]SADC!P115-P115,0)</f>
        <v>0</v>
      </c>
      <c r="R115" s="182">
        <f>+IF(P115+[1]SADC!P115-[1]SADC!O115-O115&gt;0,P115+[1]SADC!P115-[1]SADC!O115-O115,0)</f>
        <v>0</v>
      </c>
      <c r="S115" s="182">
        <f>+IF(Q115+[1]SADC!Q115-[1]SADC!R115-R115&gt;0,Q115+[1]SADC!Q115-[1]SADC!R115-R115,0)</f>
        <v>0</v>
      </c>
      <c r="T115" s="182">
        <f>+IF(R115+[1]SADC!R115-[1]SADC!Q115-Q115&gt;0,R115+[1]SADC!R115-[1]SADC!Q115-Q115,0)</f>
        <v>0</v>
      </c>
      <c r="U115" s="182">
        <f>+IF(S115+[1]SADC!S115-[1]SADC!T115-T115&gt;0,S115+[1]SADC!S115-[1]SADC!T115-T115,0)</f>
        <v>0</v>
      </c>
      <c r="V115" s="182">
        <f>+IF(T115+[1]SADC!T115-[1]SADC!S115-S115&gt;0,T115+[1]SADC!T115-[1]SADC!S115-S115,0)</f>
        <v>0</v>
      </c>
      <c r="W115" s="182">
        <f>+IF(U115+[1]SADC!U115-[1]SADC!V115-V115&gt;0,U115+[1]SADC!U115-[1]SADC!V115-V115,0)</f>
        <v>0</v>
      </c>
      <c r="X115" s="182">
        <f>+IF(V115+[1]SADC!V115-[1]SADC!U115-U115&gt;0,V115+[1]SADC!V115-[1]SADC!U115-U115,0)</f>
        <v>0</v>
      </c>
      <c r="Y115" s="182">
        <f>+IF(W115+[1]SADC!W115-[1]SADC!X115-X115&gt;0,W115+[1]SADC!W115-[1]SADC!X115-X115,0)</f>
        <v>0</v>
      </c>
      <c r="Z115" s="182">
        <f>+IF(X115+[1]SADC!X115-[1]SADC!W115-W115&gt;0,X115+[1]SADC!X115-[1]SADC!W115-W115,0)</f>
        <v>0</v>
      </c>
      <c r="AA115" s="182">
        <f>+IF(Y115+[1]SADC!Y115-[1]SADC!Z115-Z115&gt;0,Y115+[1]SADC!Y115-[1]SADC!Z115-Z115,0)</f>
        <v>0</v>
      </c>
      <c r="AB115" s="182">
        <f>+IF(Z115+[1]SADC!Z115-[1]SADC!Y115-Y115&gt;0,Z115+[1]SADC!Z115-[1]SADC!Y115-Y115,0)</f>
        <v>0</v>
      </c>
      <c r="AC115" s="181"/>
      <c r="AD115" s="182">
        <f t="shared" si="1"/>
        <v>0</v>
      </c>
      <c r="AE115" s="182">
        <f t="shared" si="1"/>
        <v>0</v>
      </c>
      <c r="AF115" s="181"/>
    </row>
    <row r="116" spans="1:32">
      <c r="A116" s="181" t="str">
        <f>+VLOOKUP(B116,'[1]coa-mgb'!A$1:B$65536,2,0)</f>
        <v>Collective Negotiation Agreement Incentive</v>
      </c>
      <c r="B116" s="184" t="s">
        <v>142</v>
      </c>
      <c r="C116" s="182">
        <f>+SUMIFS('[1]50102990 11'!$F$1:$F$65536,'[1]50102990 11'!$D$1:$D$65536,"Beginning Balance",'[1]50102990 11'!$D$1:$D$65536,"Beginning Balance")</f>
        <v>0</v>
      </c>
      <c r="D116" s="182">
        <f>+SUMIFS('[1]50102990 11'!$H$1:$H$65536,'[1]50102990 11'!$D$1:$D$65536,"Beginning Balance",'[1]50102990 11'!$D$1:$D$65536,"Beginning Balance")</f>
        <v>0</v>
      </c>
      <c r="E116" s="182">
        <f>+IF(C116+[1]SADC!C116-[1]SADC!D116-D116&gt;0,C116+[1]SADC!C116-[1]SADC!D116-D116,0)</f>
        <v>0</v>
      </c>
      <c r="F116" s="182">
        <f>+IF(D116+[1]SADC!D116-[1]SADC!C116-C116&gt;0,D116+[1]SADC!D116-[1]SADC!C116-C116,0)</f>
        <v>0</v>
      </c>
      <c r="G116" s="182">
        <f>+IF(E116+[1]SADC!E116-[1]SADC!F116-F116&gt;0,E116+[1]SADC!E116-[1]SADC!F116-F116,0)</f>
        <v>0</v>
      </c>
      <c r="H116" s="182">
        <f>+IF(F116+[1]SADC!F116-[1]SADC!E116-E116&gt;0,F116+[1]SADC!F116-[1]SADC!E116-E116,0)</f>
        <v>0</v>
      </c>
      <c r="I116" s="182">
        <f>+IF(G116+[1]SADC!G116-[1]SADC!H116-H116&gt;0,G116+[1]SADC!G116-[1]SADC!H116-H116,0)</f>
        <v>0</v>
      </c>
      <c r="J116" s="182">
        <f>+IF(H116+[1]SADC!H116-[1]SADC!G116-G116&gt;0,H116+[1]SADC!H116-[1]SADC!G116-G116,0)</f>
        <v>0</v>
      </c>
      <c r="K116" s="182">
        <f>+IF(I116+[1]SADC!I116-[1]SADC!J116-J116&gt;0,I116+[1]SADC!I116-[1]SADC!J116-J116,0)</f>
        <v>0</v>
      </c>
      <c r="L116" s="182">
        <f>+IF(J116+[1]SADC!J116-[1]SADC!I116-I116&gt;0,J116+[1]SADC!J116-[1]SADC!I116-I116,0)</f>
        <v>0</v>
      </c>
      <c r="M116" s="182">
        <f>+IF(K116+[1]SADC!K116-[1]SADC!L116-L116&gt;0,K116+[1]SADC!K116-[1]SADC!L116-L116,0)</f>
        <v>0</v>
      </c>
      <c r="N116" s="182">
        <f>+IF(L116+[1]SADC!L116-[1]SADC!K116-K116&gt;0,L116+[1]SADC!L116-[1]SADC!K116-K116,0)</f>
        <v>0</v>
      </c>
      <c r="O116" s="182">
        <f>+IF(M116+[1]SADC!M116-[1]SADC!N116-N116&gt;0,M116+[1]SADC!M116-[1]SADC!N116-N116,0)</f>
        <v>0</v>
      </c>
      <c r="P116" s="182">
        <f>+IF(N116+[1]SADC!N116-[1]SADC!M116-M116&gt;0,N116+[1]SADC!N116-[1]SADC!M116-M116,0)</f>
        <v>0</v>
      </c>
      <c r="Q116" s="182">
        <f>+IF(O116+[1]SADC!O116-[1]SADC!P116-P116&gt;0,O116+[1]SADC!O116-[1]SADC!P116-P116,0)</f>
        <v>0</v>
      </c>
      <c r="R116" s="182">
        <f>+IF(P116+[1]SADC!P116-[1]SADC!O116-O116&gt;0,P116+[1]SADC!P116-[1]SADC!O116-O116,0)</f>
        <v>0</v>
      </c>
      <c r="S116" s="182">
        <f>+IF(Q116+[1]SADC!Q116-[1]SADC!R116-R116&gt;0,Q116+[1]SADC!Q116-[1]SADC!R116-R116,0)</f>
        <v>0</v>
      </c>
      <c r="T116" s="182">
        <f>+IF(R116+[1]SADC!R116-[1]SADC!Q116-Q116&gt;0,R116+[1]SADC!R116-[1]SADC!Q116-Q116,0)</f>
        <v>0</v>
      </c>
      <c r="U116" s="182">
        <f>+IF(S116+[1]SADC!S116-[1]SADC!T116-T116&gt;0,S116+[1]SADC!S116-[1]SADC!T116-T116,0)</f>
        <v>0</v>
      </c>
      <c r="V116" s="182">
        <f>+IF(T116+[1]SADC!T116-[1]SADC!S116-S116&gt;0,T116+[1]SADC!T116-[1]SADC!S116-S116,0)</f>
        <v>0</v>
      </c>
      <c r="W116" s="182">
        <f>+IF(U116+[1]SADC!U116-[1]SADC!V116-V116&gt;0,U116+[1]SADC!U116-[1]SADC!V116-V116,0)</f>
        <v>0</v>
      </c>
      <c r="X116" s="182">
        <f>+IF(V116+[1]SADC!V116-[1]SADC!U116-U116&gt;0,V116+[1]SADC!V116-[1]SADC!U116-U116,0)</f>
        <v>0</v>
      </c>
      <c r="Y116" s="182">
        <f>+IF(W116+[1]SADC!W116-[1]SADC!X116-X116&gt;0,W116+[1]SADC!W116-[1]SADC!X116-X116,0)</f>
        <v>0</v>
      </c>
      <c r="Z116" s="182">
        <f>+IF(X116+[1]SADC!X116-[1]SADC!W116-W116&gt;0,X116+[1]SADC!X116-[1]SADC!W116-W116,0)</f>
        <v>0</v>
      </c>
      <c r="AA116" s="182">
        <f>+IF(Y116+[1]SADC!Y116-[1]SADC!Z116-Z116&gt;0,Y116+[1]SADC!Y116-[1]SADC!Z116-Z116,0)</f>
        <v>0</v>
      </c>
      <c r="AB116" s="182">
        <f>+IF(Z116+[1]SADC!Z116-[1]SADC!Y116-Y116&gt;0,Z116+[1]SADC!Z116-[1]SADC!Y116-Y116,0)</f>
        <v>0</v>
      </c>
      <c r="AC116" s="181"/>
      <c r="AD116" s="182">
        <f t="shared" si="1"/>
        <v>0</v>
      </c>
      <c r="AE116" s="182">
        <f t="shared" si="1"/>
        <v>0</v>
      </c>
      <c r="AF116" s="181"/>
    </row>
    <row r="117" spans="1:32">
      <c r="A117" s="181" t="str">
        <f>+VLOOKUP(B117,'[1]coa-mgb'!A$1:B$65536,2,0)</f>
        <v>Longevity Pay</v>
      </c>
      <c r="B117" s="184" t="s">
        <v>143</v>
      </c>
      <c r="C117" s="182">
        <f>+SUMIFS('[1]50102120 00'!$F$1:$F$65536,'[1]50102120 00'!$D$1:$D$65536,"Beginning Balance",'[1]50102120 00'!$D$1:$D$65536,"Beginning Balance")</f>
        <v>0</v>
      </c>
      <c r="D117" s="182">
        <f>+SUMIFS('[1]50102120 00'!$H$1:$H$65536,'[1]50102120 00'!$D$1:$D$65536,"Beginning Balance",'[1]50102120 00'!$D$1:$D$65536,"Beginning Balance")</f>
        <v>0</v>
      </c>
      <c r="E117" s="182">
        <f>+IF(C117+[1]SADC!C117-[1]SADC!D117-D117&gt;0,C117+[1]SADC!C117-[1]SADC!D117-D117,0)</f>
        <v>0</v>
      </c>
      <c r="F117" s="182">
        <f>+IF(D117+[1]SADC!D117-[1]SADC!C117-C117&gt;0,D117+[1]SADC!D117-[1]SADC!C117-C117,0)</f>
        <v>0</v>
      </c>
      <c r="G117" s="182">
        <f>+IF(E117+[1]SADC!E117-[1]SADC!F117-F117&gt;0,E117+[1]SADC!E117-[1]SADC!F117-F117,0)</f>
        <v>0</v>
      </c>
      <c r="H117" s="182">
        <f>+IF(F117+[1]SADC!F117-[1]SADC!E117-E117&gt;0,F117+[1]SADC!F117-[1]SADC!E117-E117,0)</f>
        <v>0</v>
      </c>
      <c r="I117" s="182">
        <f>+IF(G117+[1]SADC!G117-[1]SADC!H117-H117&gt;0,G117+[1]SADC!G117-[1]SADC!H117-H117,0)</f>
        <v>0</v>
      </c>
      <c r="J117" s="182">
        <f>+IF(H117+[1]SADC!H117-[1]SADC!G117-G117&gt;0,H117+[1]SADC!H117-[1]SADC!G117-G117,0)</f>
        <v>0</v>
      </c>
      <c r="K117" s="182">
        <f>+IF(I117+[1]SADC!I117-[1]SADC!J117-J117&gt;0,I117+[1]SADC!I117-[1]SADC!J117-J117,0)</f>
        <v>0</v>
      </c>
      <c r="L117" s="182">
        <f>+IF(J117+[1]SADC!J117-[1]SADC!I117-I117&gt;0,J117+[1]SADC!J117-[1]SADC!I117-I117,0)</f>
        <v>0</v>
      </c>
      <c r="M117" s="182">
        <f>+IF(K117+[1]SADC!K117-[1]SADC!L117-L117&gt;0,K117+[1]SADC!K117-[1]SADC!L117-L117,0)</f>
        <v>0</v>
      </c>
      <c r="N117" s="182">
        <f>+IF(L117+[1]SADC!L117-[1]SADC!K117-K117&gt;0,L117+[1]SADC!L117-[1]SADC!K117-K117,0)</f>
        <v>0</v>
      </c>
      <c r="O117" s="182">
        <f>+IF(M117+[1]SADC!M117-[1]SADC!N117-N117&gt;0,M117+[1]SADC!M117-[1]SADC!N117-N117,0)</f>
        <v>0</v>
      </c>
      <c r="P117" s="182">
        <f>+IF(N117+[1]SADC!N117-[1]SADC!M117-M117&gt;0,N117+[1]SADC!N117-[1]SADC!M117-M117,0)</f>
        <v>0</v>
      </c>
      <c r="Q117" s="182">
        <f>+IF(O117+[1]SADC!O117-[1]SADC!P117-P117&gt;0,O117+[1]SADC!O117-[1]SADC!P117-P117,0)</f>
        <v>0</v>
      </c>
      <c r="R117" s="182">
        <f>+IF(P117+[1]SADC!P117-[1]SADC!O117-O117&gt;0,P117+[1]SADC!P117-[1]SADC!O117-O117,0)</f>
        <v>0</v>
      </c>
      <c r="S117" s="182">
        <f>+IF(Q117+[1]SADC!Q117-[1]SADC!R117-R117&gt;0,Q117+[1]SADC!Q117-[1]SADC!R117-R117,0)</f>
        <v>0</v>
      </c>
      <c r="T117" s="182">
        <f>+IF(R117+[1]SADC!R117-[1]SADC!Q117-Q117&gt;0,R117+[1]SADC!R117-[1]SADC!Q117-Q117,0)</f>
        <v>0</v>
      </c>
      <c r="U117" s="182">
        <f>+IF(S117+[1]SADC!S117-[1]SADC!T117-T117&gt;0,S117+[1]SADC!S117-[1]SADC!T117-T117,0)</f>
        <v>0</v>
      </c>
      <c r="V117" s="182">
        <f>+IF(T117+[1]SADC!T117-[1]SADC!S117-S117&gt;0,T117+[1]SADC!T117-[1]SADC!S117-S117,0)</f>
        <v>0</v>
      </c>
      <c r="W117" s="182">
        <f>+IF(U117+[1]SADC!U117-[1]SADC!V117-V117&gt;0,U117+[1]SADC!U117-[1]SADC!V117-V117,0)</f>
        <v>0</v>
      </c>
      <c r="X117" s="182">
        <f>+IF(V117+[1]SADC!V117-[1]SADC!U117-U117&gt;0,V117+[1]SADC!V117-[1]SADC!U117-U117,0)</f>
        <v>0</v>
      </c>
      <c r="Y117" s="182">
        <f>+IF(W117+[1]SADC!W117-[1]SADC!X117-X117&gt;0,W117+[1]SADC!W117-[1]SADC!X117-X117,0)</f>
        <v>0</v>
      </c>
      <c r="Z117" s="182">
        <f>+IF(X117+[1]SADC!X117-[1]SADC!W117-W117&gt;0,X117+[1]SADC!X117-[1]SADC!W117-W117,0)</f>
        <v>0</v>
      </c>
      <c r="AA117" s="182">
        <f>+IF(Y117+[1]SADC!Y117-[1]SADC!Z117-Z117&gt;0,Y117+[1]SADC!Y117-[1]SADC!Z117-Z117,0)</f>
        <v>0</v>
      </c>
      <c r="AB117" s="182">
        <f>+IF(Z117+[1]SADC!Z117-[1]SADC!Y117-Y117&gt;0,Z117+[1]SADC!Z117-[1]SADC!Y117-Y117,0)</f>
        <v>0</v>
      </c>
      <c r="AC117" s="181"/>
      <c r="AD117" s="182">
        <f t="shared" si="1"/>
        <v>0</v>
      </c>
      <c r="AE117" s="182">
        <f t="shared" si="1"/>
        <v>0</v>
      </c>
      <c r="AF117" s="181"/>
    </row>
    <row r="118" spans="1:32">
      <c r="A118" s="181" t="str">
        <f>+VLOOKUP(B118,'[1]coa-mgb'!A$1:B$65536,2,0)</f>
        <v>Overtime and Night Pay</v>
      </c>
      <c r="B118" s="184" t="s">
        <v>144</v>
      </c>
      <c r="C118" s="182">
        <f>+SUMIFS('[1]50102130 00'!$F$1:$F$65536,'[1]50102130 00'!$D$1:$D$65536,"Beginning Balance",'[1]50102130 00'!$D$1:$D$65536,"Beginning Balance")</f>
        <v>0</v>
      </c>
      <c r="D118" s="182">
        <f>+SUMIFS('[1]50102130 00'!$H$1:$H$65536,'[1]50102130 00'!$D$1:$D$65536,"Beginning Balance",'[1]50102130 00'!$D$1:$D$65536,"Beginning Balance")</f>
        <v>0</v>
      </c>
      <c r="E118" s="182">
        <f>+IF(C118+[1]SADC!C118-[1]SADC!D118-D118&gt;0,C118+[1]SADC!C118-[1]SADC!D118-D118,0)</f>
        <v>0</v>
      </c>
      <c r="F118" s="182">
        <f>+IF(D118+[1]SADC!D118-[1]SADC!C118-C118&gt;0,D118+[1]SADC!D118-[1]SADC!C118-C118,0)</f>
        <v>0</v>
      </c>
      <c r="G118" s="182">
        <f>+IF(E118+[1]SADC!E118-[1]SADC!F118-F118&gt;0,E118+[1]SADC!E118-[1]SADC!F118-F118,0)</f>
        <v>0</v>
      </c>
      <c r="H118" s="182">
        <f>+IF(F118+[1]SADC!F118-[1]SADC!E118-E118&gt;0,F118+[1]SADC!F118-[1]SADC!E118-E118,0)</f>
        <v>0</v>
      </c>
      <c r="I118" s="182">
        <f>+IF(G118+[1]SADC!G118-[1]SADC!H118-H118&gt;0,G118+[1]SADC!G118-[1]SADC!H118-H118,0)</f>
        <v>0</v>
      </c>
      <c r="J118" s="182">
        <f>+IF(H118+[1]SADC!H118-[1]SADC!G118-G118&gt;0,H118+[1]SADC!H118-[1]SADC!G118-G118,0)</f>
        <v>0</v>
      </c>
      <c r="K118" s="182">
        <f>+IF(I118+[1]SADC!I118-[1]SADC!J118-J118&gt;0,I118+[1]SADC!I118-[1]SADC!J118-J118,0)</f>
        <v>0</v>
      </c>
      <c r="L118" s="182">
        <f>+IF(J118+[1]SADC!J118-[1]SADC!I118-I118&gt;0,J118+[1]SADC!J118-[1]SADC!I118-I118,0)</f>
        <v>0</v>
      </c>
      <c r="M118" s="182">
        <f>+IF(K118+[1]SADC!K118-[1]SADC!L118-L118&gt;0,K118+[1]SADC!K118-[1]SADC!L118-L118,0)</f>
        <v>0</v>
      </c>
      <c r="N118" s="182">
        <f>+IF(L118+[1]SADC!L118-[1]SADC!K118-K118&gt;0,L118+[1]SADC!L118-[1]SADC!K118-K118,0)</f>
        <v>0</v>
      </c>
      <c r="O118" s="182">
        <f>+IF(M118+[1]SADC!M118-[1]SADC!N118-N118&gt;0,M118+[1]SADC!M118-[1]SADC!N118-N118,0)</f>
        <v>0</v>
      </c>
      <c r="P118" s="182">
        <f>+IF(N118+[1]SADC!N118-[1]SADC!M118-M118&gt;0,N118+[1]SADC!N118-[1]SADC!M118-M118,0)</f>
        <v>0</v>
      </c>
      <c r="Q118" s="182">
        <f>+IF(O118+[1]SADC!O118-[1]SADC!P118-P118&gt;0,O118+[1]SADC!O118-[1]SADC!P118-P118,0)</f>
        <v>0</v>
      </c>
      <c r="R118" s="182">
        <f>+IF(P118+[1]SADC!P118-[1]SADC!O118-O118&gt;0,P118+[1]SADC!P118-[1]SADC!O118-O118,0)</f>
        <v>0</v>
      </c>
      <c r="S118" s="182">
        <f>+IF(Q118+[1]SADC!Q118-[1]SADC!R118-R118&gt;0,Q118+[1]SADC!Q118-[1]SADC!R118-R118,0)</f>
        <v>0</v>
      </c>
      <c r="T118" s="182">
        <f>+IF(R118+[1]SADC!R118-[1]SADC!Q118-Q118&gt;0,R118+[1]SADC!R118-[1]SADC!Q118-Q118,0)</f>
        <v>0</v>
      </c>
      <c r="U118" s="182">
        <f>+IF(S118+[1]SADC!S118-[1]SADC!T118-T118&gt;0,S118+[1]SADC!S118-[1]SADC!T118-T118,0)</f>
        <v>0</v>
      </c>
      <c r="V118" s="182">
        <f>+IF(T118+[1]SADC!T118-[1]SADC!S118-S118&gt;0,T118+[1]SADC!T118-[1]SADC!S118-S118,0)</f>
        <v>0</v>
      </c>
      <c r="W118" s="182">
        <f>+IF(U118+[1]SADC!U118-[1]SADC!V118-V118&gt;0,U118+[1]SADC!U118-[1]SADC!V118-V118,0)</f>
        <v>0</v>
      </c>
      <c r="X118" s="182">
        <f>+IF(V118+[1]SADC!V118-[1]SADC!U118-U118&gt;0,V118+[1]SADC!V118-[1]SADC!U118-U118,0)</f>
        <v>0</v>
      </c>
      <c r="Y118" s="182">
        <f>+IF(W118+[1]SADC!W118-[1]SADC!X118-X118&gt;0,W118+[1]SADC!W118-[1]SADC!X118-X118,0)</f>
        <v>0</v>
      </c>
      <c r="Z118" s="182">
        <f>+IF(X118+[1]SADC!X118-[1]SADC!W118-W118&gt;0,X118+[1]SADC!X118-[1]SADC!W118-W118,0)</f>
        <v>0</v>
      </c>
      <c r="AA118" s="182">
        <f>+IF(Y118+[1]SADC!Y118-[1]SADC!Z118-Z118&gt;0,Y118+[1]SADC!Y118-[1]SADC!Z118-Z118,0)</f>
        <v>0</v>
      </c>
      <c r="AB118" s="182">
        <f>+IF(Z118+[1]SADC!Z118-[1]SADC!Y118-Y118&gt;0,Z118+[1]SADC!Z118-[1]SADC!Y118-Y118,0)</f>
        <v>0</v>
      </c>
      <c r="AC118" s="181"/>
      <c r="AD118" s="182">
        <f t="shared" si="1"/>
        <v>0</v>
      </c>
      <c r="AE118" s="182">
        <f t="shared" si="1"/>
        <v>0</v>
      </c>
      <c r="AF118" s="181"/>
    </row>
    <row r="119" spans="1:32">
      <c r="A119" s="181" t="str">
        <f>+VLOOKUP(B119,'[1]coa-mgb'!A$1:B$65536,2,0)</f>
        <v>Year End Bonus</v>
      </c>
      <c r="B119" s="184" t="s">
        <v>145</v>
      </c>
      <c r="C119" s="182">
        <f>+SUMIFS('[1]50102140 00'!$F$1:$F$65536,'[1]50102140 00'!$D$1:$D$65536,"Beginning Balance",'[1]50102140 00'!$D$1:$D$65536,"Beginning Balance")</f>
        <v>0</v>
      </c>
      <c r="D119" s="182">
        <f>+SUMIFS('[1]50102140 00'!$H$1:$H$65536,'[1]50102140 00'!$D$1:$D$65536,"Beginning Balance",'[1]50102140 00'!$D$1:$D$65536,"Beginning Balance")</f>
        <v>0</v>
      </c>
      <c r="E119" s="182">
        <f>+IF(C119+[1]SADC!C119-[1]SADC!D119-D119&gt;0,C119+[1]SADC!C119-[1]SADC!D119-D119,0)</f>
        <v>0</v>
      </c>
      <c r="F119" s="182">
        <f>+IF(D119+[1]SADC!D119-[1]SADC!C119-C119&gt;0,D119+[1]SADC!D119-[1]SADC!C119-C119,0)</f>
        <v>0</v>
      </c>
      <c r="G119" s="182">
        <f>+IF(E119+[1]SADC!E119-[1]SADC!F119-F119&gt;0,E119+[1]SADC!E119-[1]SADC!F119-F119,0)</f>
        <v>0</v>
      </c>
      <c r="H119" s="182">
        <f>+IF(F119+[1]SADC!F119-[1]SADC!E119-E119&gt;0,F119+[1]SADC!F119-[1]SADC!E119-E119,0)</f>
        <v>0</v>
      </c>
      <c r="I119" s="182">
        <f>+IF(G119+[1]SADC!G119-[1]SADC!H119-H119&gt;0,G119+[1]SADC!G119-[1]SADC!H119-H119,0)</f>
        <v>0</v>
      </c>
      <c r="J119" s="182">
        <f>+IF(H119+[1]SADC!H119-[1]SADC!G119-G119&gt;0,H119+[1]SADC!H119-[1]SADC!G119-G119,0)</f>
        <v>0</v>
      </c>
      <c r="K119" s="182">
        <f>+IF(I119+[1]SADC!I119-[1]SADC!J119-J119&gt;0,I119+[1]SADC!I119-[1]SADC!J119-J119,0)</f>
        <v>0</v>
      </c>
      <c r="L119" s="182">
        <f>+IF(J119+[1]SADC!J119-[1]SADC!I119-I119&gt;0,J119+[1]SADC!J119-[1]SADC!I119-I119,0)</f>
        <v>0</v>
      </c>
      <c r="M119" s="182">
        <f>+IF(K119+[1]SADC!K119-[1]SADC!L119-L119&gt;0,K119+[1]SADC!K119-[1]SADC!L119-L119,0)</f>
        <v>0</v>
      </c>
      <c r="N119" s="182">
        <f>+IF(L119+[1]SADC!L119-[1]SADC!K119-K119&gt;0,L119+[1]SADC!L119-[1]SADC!K119-K119,0)</f>
        <v>0</v>
      </c>
      <c r="O119" s="182">
        <f>+IF(M119+[1]SADC!M119-[1]SADC!N119-N119&gt;0,M119+[1]SADC!M119-[1]SADC!N119-N119,0)</f>
        <v>0</v>
      </c>
      <c r="P119" s="182">
        <f>+IF(N119+[1]SADC!N119-[1]SADC!M119-M119&gt;0,N119+[1]SADC!N119-[1]SADC!M119-M119,0)</f>
        <v>0</v>
      </c>
      <c r="Q119" s="182">
        <f>+IF(O119+[1]SADC!O119-[1]SADC!P119-P119&gt;0,O119+[1]SADC!O119-[1]SADC!P119-P119,0)</f>
        <v>0</v>
      </c>
      <c r="R119" s="182">
        <f>+IF(P119+[1]SADC!P119-[1]SADC!O119-O119&gt;0,P119+[1]SADC!P119-[1]SADC!O119-O119,0)</f>
        <v>0</v>
      </c>
      <c r="S119" s="182">
        <f>+IF(Q119+[1]SADC!Q119-[1]SADC!R119-R119&gt;0,Q119+[1]SADC!Q119-[1]SADC!R119-R119,0)</f>
        <v>0</v>
      </c>
      <c r="T119" s="182">
        <f>+IF(R119+[1]SADC!R119-[1]SADC!Q119-Q119&gt;0,R119+[1]SADC!R119-[1]SADC!Q119-Q119,0)</f>
        <v>0</v>
      </c>
      <c r="U119" s="182">
        <f>+IF(S119+[1]SADC!S119-[1]SADC!T119-T119&gt;0,S119+[1]SADC!S119-[1]SADC!T119-T119,0)</f>
        <v>0</v>
      </c>
      <c r="V119" s="182">
        <f>+IF(T119+[1]SADC!T119-[1]SADC!S119-S119&gt;0,T119+[1]SADC!T119-[1]SADC!S119-S119,0)</f>
        <v>0</v>
      </c>
      <c r="W119" s="182">
        <f>+IF(U119+[1]SADC!U119-[1]SADC!V119-V119&gt;0,U119+[1]SADC!U119-[1]SADC!V119-V119,0)</f>
        <v>0</v>
      </c>
      <c r="X119" s="182">
        <f>+IF(V119+[1]SADC!V119-[1]SADC!U119-U119&gt;0,V119+[1]SADC!V119-[1]SADC!U119-U119,0)</f>
        <v>0</v>
      </c>
      <c r="Y119" s="182">
        <f>+IF(W119+[1]SADC!W119-[1]SADC!X119-X119&gt;0,W119+[1]SADC!W119-[1]SADC!X119-X119,0)</f>
        <v>0</v>
      </c>
      <c r="Z119" s="182">
        <f>+IF(X119+[1]SADC!X119-[1]SADC!W119-W119&gt;0,X119+[1]SADC!X119-[1]SADC!W119-W119,0)</f>
        <v>0</v>
      </c>
      <c r="AA119" s="182">
        <f>+IF(Y119+[1]SADC!Y119-[1]SADC!Z119-Z119&gt;0,Y119+[1]SADC!Y119-[1]SADC!Z119-Z119,0)</f>
        <v>0</v>
      </c>
      <c r="AB119" s="182">
        <f>+IF(Z119+[1]SADC!Z119-[1]SADC!Y119-Y119&gt;0,Z119+[1]SADC!Z119-[1]SADC!Y119-Y119,0)</f>
        <v>0</v>
      </c>
      <c r="AC119" s="181"/>
      <c r="AD119" s="182">
        <f t="shared" si="1"/>
        <v>0</v>
      </c>
      <c r="AE119" s="182">
        <f t="shared" si="1"/>
        <v>0</v>
      </c>
      <c r="AF119" s="181"/>
    </row>
    <row r="120" spans="1:32">
      <c r="A120" s="181" t="str">
        <f>+VLOOKUP(B120,'[1]coa-mgb'!A$1:B$65536,2,0)</f>
        <v>Cash Gift</v>
      </c>
      <c r="B120" s="184" t="s">
        <v>146</v>
      </c>
      <c r="C120" s="182">
        <f>+SUMIFS('[1]50102150 00'!$F$1:$F$65536,'[1]50102150 00'!$D$1:$D$65536,"Beginning Balance",'[1]50102150 00'!$D$1:$D$65536,"Beginning Balance")</f>
        <v>0</v>
      </c>
      <c r="D120" s="182">
        <f>+SUMIFS('[1]50102150 00'!$H$1:$H$65536,'[1]50102150 00'!$D$1:$D$65536,"Beginning Balance",'[1]50102150 00'!$D$1:$D$65536,"Beginning Balance")</f>
        <v>0</v>
      </c>
      <c r="E120" s="182">
        <f>+IF(C120+[1]SADC!C120-[1]SADC!D120-D120&gt;0,C120+[1]SADC!C120-[1]SADC!D120-D120,0)</f>
        <v>0</v>
      </c>
      <c r="F120" s="182">
        <f>+IF(D120+[1]SADC!D120-[1]SADC!C120-C120&gt;0,D120+[1]SADC!D120-[1]SADC!C120-C120,0)</f>
        <v>0</v>
      </c>
      <c r="G120" s="182">
        <f>+IF(E120+[1]SADC!E120-[1]SADC!F120-F120&gt;0,E120+[1]SADC!E120-[1]SADC!F120-F120,0)</f>
        <v>0</v>
      </c>
      <c r="H120" s="182">
        <f>+IF(F120+[1]SADC!F120-[1]SADC!E120-E120&gt;0,F120+[1]SADC!F120-[1]SADC!E120-E120,0)</f>
        <v>0</v>
      </c>
      <c r="I120" s="182">
        <f>+IF(G120+[1]SADC!G120-[1]SADC!H120-H120&gt;0,G120+[1]SADC!G120-[1]SADC!H120-H120,0)</f>
        <v>0</v>
      </c>
      <c r="J120" s="182">
        <f>+IF(H120+[1]SADC!H120-[1]SADC!G120-G120&gt;0,H120+[1]SADC!H120-[1]SADC!G120-G120,0)</f>
        <v>0</v>
      </c>
      <c r="K120" s="182">
        <f>+IF(I120+[1]SADC!I120-[1]SADC!J120-J120&gt;0,I120+[1]SADC!I120-[1]SADC!J120-J120,0)</f>
        <v>0</v>
      </c>
      <c r="L120" s="182">
        <f>+IF(J120+[1]SADC!J120-[1]SADC!I120-I120&gt;0,J120+[1]SADC!J120-[1]SADC!I120-I120,0)</f>
        <v>0</v>
      </c>
      <c r="M120" s="182">
        <f>+IF(K120+[1]SADC!K120-[1]SADC!L120-L120&gt;0,K120+[1]SADC!K120-[1]SADC!L120-L120,0)</f>
        <v>0</v>
      </c>
      <c r="N120" s="182">
        <f>+IF(L120+[1]SADC!L120-[1]SADC!K120-K120&gt;0,L120+[1]SADC!L120-[1]SADC!K120-K120,0)</f>
        <v>0</v>
      </c>
      <c r="O120" s="182">
        <f>+IF(M120+[1]SADC!M120-[1]SADC!N120-N120&gt;0,M120+[1]SADC!M120-[1]SADC!N120-N120,0)</f>
        <v>0</v>
      </c>
      <c r="P120" s="182">
        <f>+IF(N120+[1]SADC!N120-[1]SADC!M120-M120&gt;0,N120+[1]SADC!N120-[1]SADC!M120-M120,0)</f>
        <v>0</v>
      </c>
      <c r="Q120" s="182">
        <f>+IF(O120+[1]SADC!O120-[1]SADC!P120-P120&gt;0,O120+[1]SADC!O120-[1]SADC!P120-P120,0)</f>
        <v>0</v>
      </c>
      <c r="R120" s="182">
        <f>+IF(P120+[1]SADC!P120-[1]SADC!O120-O120&gt;0,P120+[1]SADC!P120-[1]SADC!O120-O120,0)</f>
        <v>0</v>
      </c>
      <c r="S120" s="182">
        <f>+IF(Q120+[1]SADC!Q120-[1]SADC!R120-R120&gt;0,Q120+[1]SADC!Q120-[1]SADC!R120-R120,0)</f>
        <v>0</v>
      </c>
      <c r="T120" s="182">
        <f>+IF(R120+[1]SADC!R120-[1]SADC!Q120-Q120&gt;0,R120+[1]SADC!R120-[1]SADC!Q120-Q120,0)</f>
        <v>0</v>
      </c>
      <c r="U120" s="182">
        <f>+IF(S120+[1]SADC!S120-[1]SADC!T120-T120&gt;0,S120+[1]SADC!S120-[1]SADC!T120-T120,0)</f>
        <v>0</v>
      </c>
      <c r="V120" s="182">
        <f>+IF(T120+[1]SADC!T120-[1]SADC!S120-S120&gt;0,T120+[1]SADC!T120-[1]SADC!S120-S120,0)</f>
        <v>0</v>
      </c>
      <c r="W120" s="182">
        <f>+IF(U120+[1]SADC!U120-[1]SADC!V120-V120&gt;0,U120+[1]SADC!U120-[1]SADC!V120-V120,0)</f>
        <v>0</v>
      </c>
      <c r="X120" s="182">
        <f>+IF(V120+[1]SADC!V120-[1]SADC!U120-U120&gt;0,V120+[1]SADC!V120-[1]SADC!U120-U120,0)</f>
        <v>0</v>
      </c>
      <c r="Y120" s="182">
        <f>+IF(W120+[1]SADC!W120-[1]SADC!X120-X120&gt;0,W120+[1]SADC!W120-[1]SADC!X120-X120,0)</f>
        <v>0</v>
      </c>
      <c r="Z120" s="182">
        <f>+IF(X120+[1]SADC!X120-[1]SADC!W120-W120&gt;0,X120+[1]SADC!X120-[1]SADC!W120-W120,0)</f>
        <v>0</v>
      </c>
      <c r="AA120" s="182">
        <f>+IF(Y120+[1]SADC!Y120-[1]SADC!Z120-Z120&gt;0,Y120+[1]SADC!Y120-[1]SADC!Z120-Z120,0)</f>
        <v>0</v>
      </c>
      <c r="AB120" s="182">
        <f>+IF(Z120+[1]SADC!Z120-[1]SADC!Y120-Y120&gt;0,Z120+[1]SADC!Z120-[1]SADC!Y120-Y120,0)</f>
        <v>0</v>
      </c>
      <c r="AC120" s="181"/>
      <c r="AD120" s="182">
        <f t="shared" si="1"/>
        <v>0</v>
      </c>
      <c r="AE120" s="182">
        <f t="shared" si="1"/>
        <v>0</v>
      </c>
      <c r="AF120" s="181"/>
    </row>
    <row r="121" spans="1:32">
      <c r="A121" s="181" t="str">
        <f>+VLOOKUP(B121,'[1]coa-mgb'!A$1:B$65536,2,0)</f>
        <v>Life and Retirement Insurance Premiums</v>
      </c>
      <c r="B121" s="184" t="s">
        <v>147</v>
      </c>
      <c r="C121" s="182">
        <f>+SUMIFS('[1]50103010 00'!$F$1:$F$65536,'[1]50103010 00'!$D$1:$D$65536,"Beginning Balance",'[1]50103010 00'!$D$1:$D$65536,"Beginning Balance")</f>
        <v>0</v>
      </c>
      <c r="D121" s="182">
        <f>+SUMIFS('[1]50103010 00'!$H$1:$H$65536,'[1]50103010 00'!$D$1:$D$65536,"Beginning Balance",'[1]50103010 00'!$D$1:$D$65536,"Beginning Balance")</f>
        <v>0</v>
      </c>
      <c r="E121" s="182">
        <f>+IF(C121+[1]SADC!C121-[1]SADC!D121-D121&gt;0,C121+[1]SADC!C121-[1]SADC!D121-D121,0)</f>
        <v>122783.04000000001</v>
      </c>
      <c r="F121" s="182">
        <f>+IF(D121+[1]SADC!D121-[1]SADC!C121-C121&gt;0,D121+[1]SADC!D121-[1]SADC!C121-C121,0)</f>
        <v>0</v>
      </c>
      <c r="G121" s="182">
        <f>+IF(E121+[1]SADC!E121-[1]SADC!F121-F121&gt;0,E121+[1]SADC!E121-[1]SADC!F121-F121,0)</f>
        <v>247590.48</v>
      </c>
      <c r="H121" s="182">
        <f>+IF(F121+[1]SADC!F121-[1]SADC!E121-E121&gt;0,F121+[1]SADC!F121-[1]SADC!E121-E121,0)</f>
        <v>0</v>
      </c>
      <c r="I121" s="182">
        <f>+IF(G121+[1]SADC!G121-[1]SADC!H121-H121&gt;0,G121+[1]SADC!G121-[1]SADC!H121-H121,0)</f>
        <v>402512.64000000001</v>
      </c>
      <c r="J121" s="182">
        <f>+IF(H121+[1]SADC!H121-[1]SADC!G121-G121&gt;0,H121+[1]SADC!H121-[1]SADC!G121-G121,0)</f>
        <v>0</v>
      </c>
      <c r="K121" s="182">
        <f>+IF(I121+[1]SADC!I121-[1]SADC!J121-J121&gt;0,I121+[1]SADC!I121-[1]SADC!J121-J121,0)</f>
        <v>402512.64000000001</v>
      </c>
      <c r="L121" s="182">
        <f>+IF(J121+[1]SADC!J121-[1]SADC!I121-I121&gt;0,J121+[1]SADC!J121-[1]SADC!I121-I121,0)</f>
        <v>0</v>
      </c>
      <c r="M121" s="182">
        <f>+IF(K121+[1]SADC!K121-[1]SADC!L121-L121&gt;0,K121+[1]SADC!K121-[1]SADC!L121-L121,0)</f>
        <v>402512.64000000001</v>
      </c>
      <c r="N121" s="182">
        <f>+IF(L121+[1]SADC!L121-[1]SADC!K121-K121&gt;0,L121+[1]SADC!L121-[1]SADC!K121-K121,0)</f>
        <v>0</v>
      </c>
      <c r="O121" s="182">
        <f>+IF(M121+[1]SADC!M121-[1]SADC!N121-N121&gt;0,M121+[1]SADC!M121-[1]SADC!N121-N121,0)</f>
        <v>402512.64000000001</v>
      </c>
      <c r="P121" s="182">
        <f>+IF(N121+[1]SADC!N121-[1]SADC!M121-M121&gt;0,N121+[1]SADC!N121-[1]SADC!M121-M121,0)</f>
        <v>0</v>
      </c>
      <c r="Q121" s="182">
        <f>+IF(O121+[1]SADC!O121-[1]SADC!P121-P121&gt;0,O121+[1]SADC!O121-[1]SADC!P121-P121,0)</f>
        <v>402512.64000000001</v>
      </c>
      <c r="R121" s="182">
        <f>+IF(P121+[1]SADC!P121-[1]SADC!O121-O121&gt;0,P121+[1]SADC!P121-[1]SADC!O121-O121,0)</f>
        <v>0</v>
      </c>
      <c r="S121" s="182">
        <f>+IF(Q121+[1]SADC!Q121-[1]SADC!R121-R121&gt;0,Q121+[1]SADC!Q121-[1]SADC!R121-R121,0)</f>
        <v>402512.64000000001</v>
      </c>
      <c r="T121" s="182">
        <f>+IF(R121+[1]SADC!R121-[1]SADC!Q121-Q121&gt;0,R121+[1]SADC!R121-[1]SADC!Q121-Q121,0)</f>
        <v>0</v>
      </c>
      <c r="U121" s="182">
        <f>+IF(S121+[1]SADC!S121-[1]SADC!T121-T121&gt;0,S121+[1]SADC!S121-[1]SADC!T121-T121,0)</f>
        <v>402512.64000000001</v>
      </c>
      <c r="V121" s="182">
        <f>+IF(T121+[1]SADC!T121-[1]SADC!S121-S121&gt;0,T121+[1]SADC!T121-[1]SADC!S121-S121,0)</f>
        <v>0</v>
      </c>
      <c r="W121" s="182">
        <f>+IF(U121+[1]SADC!U121-[1]SADC!V121-V121&gt;0,U121+[1]SADC!U121-[1]SADC!V121-V121,0)</f>
        <v>402512.64000000001</v>
      </c>
      <c r="X121" s="182">
        <f>+IF(V121+[1]SADC!V121-[1]SADC!U121-U121&gt;0,V121+[1]SADC!V121-[1]SADC!U121-U121,0)</f>
        <v>0</v>
      </c>
      <c r="Y121" s="182">
        <f>+IF(W121+[1]SADC!W121-[1]SADC!X121-X121&gt;0,W121+[1]SADC!W121-[1]SADC!X121-X121,0)</f>
        <v>402512.64000000001</v>
      </c>
      <c r="Z121" s="182">
        <f>+IF(X121+[1]SADC!X121-[1]SADC!W121-W121&gt;0,X121+[1]SADC!X121-[1]SADC!W121-W121,0)</f>
        <v>0</v>
      </c>
      <c r="AA121" s="182">
        <f>+IF(Y121+[1]SADC!Y121-[1]SADC!Z121-Z121&gt;0,Y121+[1]SADC!Y121-[1]SADC!Z121-Z121,0)</f>
        <v>402512.64000000001</v>
      </c>
      <c r="AB121" s="182">
        <f>+IF(Z121+[1]SADC!Z121-[1]SADC!Y121-Y121&gt;0,Z121+[1]SADC!Z121-[1]SADC!Y121-Y121,0)</f>
        <v>0</v>
      </c>
      <c r="AC121" s="181"/>
      <c r="AD121" s="182">
        <f t="shared" si="1"/>
        <v>402512.64000000001</v>
      </c>
      <c r="AE121" s="182">
        <f t="shared" si="1"/>
        <v>0</v>
      </c>
      <c r="AF121" s="181"/>
    </row>
    <row r="122" spans="1:32">
      <c r="A122" s="181" t="str">
        <f>+VLOOKUP(B122,'[1]coa-mgb'!A$1:B$65536,2,0)</f>
        <v>Pag-IBIG Contributions</v>
      </c>
      <c r="B122" s="184" t="s">
        <v>148</v>
      </c>
      <c r="C122" s="182">
        <f>+SUMIFS('[1]50103020 00'!$F$1:$F$65536,'[1]50103020 00'!$D$1:$D$65536,"Beginning Balance",'[1]50103020 00'!$D$1:$D$65536,"Beginning Balance")</f>
        <v>0</v>
      </c>
      <c r="D122" s="182">
        <f>+SUMIFS('[1]50103020 00'!$H$1:$H$65536,'[1]50103020 00'!$D$1:$D$65536,"Beginning Balance",'[1]50103020 00'!$D$1:$D$65536,"Beginning Balance")</f>
        <v>0</v>
      </c>
      <c r="E122" s="182">
        <f>+IF(C122+[1]SADC!C122-[1]SADC!D122-D122&gt;0,C122+[1]SADC!C122-[1]SADC!D122-D122,0)</f>
        <v>3600</v>
      </c>
      <c r="F122" s="182">
        <f>+IF(D122+[1]SADC!D122-[1]SADC!C122-C122&gt;0,D122+[1]SADC!D122-[1]SADC!C122-C122,0)</f>
        <v>0</v>
      </c>
      <c r="G122" s="182">
        <f>+IF(E122+[1]SADC!E122-[1]SADC!F122-F122&gt;0,E122+[1]SADC!E122-[1]SADC!F122-F122,0)</f>
        <v>7300</v>
      </c>
      <c r="H122" s="182">
        <f>+IF(F122+[1]SADC!F122-[1]SADC!E122-E122&gt;0,F122+[1]SADC!F122-[1]SADC!E122-E122,0)</f>
        <v>0</v>
      </c>
      <c r="I122" s="182">
        <f>+IF(G122+[1]SADC!G122-[1]SADC!H122-H122&gt;0,G122+[1]SADC!G122-[1]SADC!H122-H122,0)</f>
        <v>11000</v>
      </c>
      <c r="J122" s="182">
        <f>+IF(H122+[1]SADC!H122-[1]SADC!G122-G122&gt;0,H122+[1]SADC!H122-[1]SADC!G122-G122,0)</f>
        <v>0</v>
      </c>
      <c r="K122" s="182">
        <f>+IF(I122+[1]SADC!I122-[1]SADC!J122-J122&gt;0,I122+[1]SADC!I122-[1]SADC!J122-J122,0)</f>
        <v>11000</v>
      </c>
      <c r="L122" s="182">
        <f>+IF(J122+[1]SADC!J122-[1]SADC!I122-I122&gt;0,J122+[1]SADC!J122-[1]SADC!I122-I122,0)</f>
        <v>0</v>
      </c>
      <c r="M122" s="182">
        <f>+IF(K122+[1]SADC!K122-[1]SADC!L122-L122&gt;0,K122+[1]SADC!K122-[1]SADC!L122-L122,0)</f>
        <v>11000</v>
      </c>
      <c r="N122" s="182">
        <f>+IF(L122+[1]SADC!L122-[1]SADC!K122-K122&gt;0,L122+[1]SADC!L122-[1]SADC!K122-K122,0)</f>
        <v>0</v>
      </c>
      <c r="O122" s="182">
        <f>+IF(M122+[1]SADC!M122-[1]SADC!N122-N122&gt;0,M122+[1]SADC!M122-[1]SADC!N122-N122,0)</f>
        <v>11000</v>
      </c>
      <c r="P122" s="182">
        <f>+IF(N122+[1]SADC!N122-[1]SADC!M122-M122&gt;0,N122+[1]SADC!N122-[1]SADC!M122-M122,0)</f>
        <v>0</v>
      </c>
      <c r="Q122" s="182">
        <f>+IF(O122+[1]SADC!O122-[1]SADC!P122-P122&gt;0,O122+[1]SADC!O122-[1]SADC!P122-P122,0)</f>
        <v>11000</v>
      </c>
      <c r="R122" s="182">
        <f>+IF(P122+[1]SADC!P122-[1]SADC!O122-O122&gt;0,P122+[1]SADC!P122-[1]SADC!O122-O122,0)</f>
        <v>0</v>
      </c>
      <c r="S122" s="182">
        <f>+IF(Q122+[1]SADC!Q122-[1]SADC!R122-R122&gt;0,Q122+[1]SADC!Q122-[1]SADC!R122-R122,0)</f>
        <v>11000</v>
      </c>
      <c r="T122" s="182">
        <f>+IF(R122+[1]SADC!R122-[1]SADC!Q122-Q122&gt;0,R122+[1]SADC!R122-[1]SADC!Q122-Q122,0)</f>
        <v>0</v>
      </c>
      <c r="U122" s="182">
        <f>+IF(S122+[1]SADC!S122-[1]SADC!T122-T122&gt;0,S122+[1]SADC!S122-[1]SADC!T122-T122,0)</f>
        <v>11000</v>
      </c>
      <c r="V122" s="182">
        <f>+IF(T122+[1]SADC!T122-[1]SADC!S122-S122&gt;0,T122+[1]SADC!T122-[1]SADC!S122-S122,0)</f>
        <v>0</v>
      </c>
      <c r="W122" s="182">
        <f>+IF(U122+[1]SADC!U122-[1]SADC!V122-V122&gt;0,U122+[1]SADC!U122-[1]SADC!V122-V122,0)</f>
        <v>11000</v>
      </c>
      <c r="X122" s="182">
        <f>+IF(V122+[1]SADC!V122-[1]SADC!U122-U122&gt;0,V122+[1]SADC!V122-[1]SADC!U122-U122,0)</f>
        <v>0</v>
      </c>
      <c r="Y122" s="182">
        <f>+IF(W122+[1]SADC!W122-[1]SADC!X122-X122&gt;0,W122+[1]SADC!W122-[1]SADC!X122-X122,0)</f>
        <v>11000</v>
      </c>
      <c r="Z122" s="182">
        <f>+IF(X122+[1]SADC!X122-[1]SADC!W122-W122&gt;0,X122+[1]SADC!X122-[1]SADC!W122-W122,0)</f>
        <v>0</v>
      </c>
      <c r="AA122" s="182">
        <f>+IF(Y122+[1]SADC!Y122-[1]SADC!Z122-Z122&gt;0,Y122+[1]SADC!Y122-[1]SADC!Z122-Z122,0)</f>
        <v>11000</v>
      </c>
      <c r="AB122" s="182">
        <f>+IF(Z122+[1]SADC!Z122-[1]SADC!Y122-Y122&gt;0,Z122+[1]SADC!Z122-[1]SADC!Y122-Y122,0)</f>
        <v>0</v>
      </c>
      <c r="AC122" s="181"/>
      <c r="AD122" s="182">
        <f t="shared" si="1"/>
        <v>11000</v>
      </c>
      <c r="AE122" s="182">
        <f t="shared" si="1"/>
        <v>0</v>
      </c>
      <c r="AF122" s="181"/>
    </row>
    <row r="123" spans="1:32">
      <c r="A123" s="181" t="str">
        <f>+VLOOKUP(B123,'[1]coa-mgb'!A$1:B$65536,2,0)</f>
        <v>PhilHealth Contributions</v>
      </c>
      <c r="B123" s="184" t="s">
        <v>149</v>
      </c>
      <c r="C123" s="182">
        <f>+SUMIFS('[1]50103030 00'!$F$1:$F$65536,'[1]50103030 00'!$D$1:$D$65536,"Beginning Balance",'[1]50103030 00'!$D$1:$D$65536,"Beginning Balance")</f>
        <v>0</v>
      </c>
      <c r="D123" s="182">
        <f>+SUMIFS('[1]50103030 00'!$H$1:$H$65536,'[1]50103030 00'!$D$1:$D$65536,"Beginning Balance",'[1]50103030 00'!$D$1:$D$65536,"Beginning Balance")</f>
        <v>0</v>
      </c>
      <c r="E123" s="182">
        <f>+IF(C123+[1]SADC!C123-[1]SADC!D123-D123&gt;0,C123+[1]SADC!C123-[1]SADC!D123-D123,0)</f>
        <v>11500</v>
      </c>
      <c r="F123" s="182">
        <f>+IF(D123+[1]SADC!D123-[1]SADC!C123-C123&gt;0,D123+[1]SADC!D123-[1]SADC!C123-C123,0)</f>
        <v>0</v>
      </c>
      <c r="G123" s="182">
        <f>+IF(E123+[1]SADC!E123-[1]SADC!F123-F123&gt;0,E123+[1]SADC!E123-[1]SADC!F123-F123,0)</f>
        <v>23200</v>
      </c>
      <c r="H123" s="182">
        <f>+IF(F123+[1]SADC!F123-[1]SADC!E123-E123&gt;0,F123+[1]SADC!F123-[1]SADC!E123-E123,0)</f>
        <v>0</v>
      </c>
      <c r="I123" s="182">
        <f>+IF(G123+[1]SADC!G123-[1]SADC!H123-H123&gt;0,G123+[1]SADC!G123-[1]SADC!H123-H123,0)</f>
        <v>36175</v>
      </c>
      <c r="J123" s="182">
        <f>+IF(H123+[1]SADC!H123-[1]SADC!G123-G123&gt;0,H123+[1]SADC!H123-[1]SADC!G123-G123,0)</f>
        <v>0</v>
      </c>
      <c r="K123" s="182">
        <f>+IF(I123+[1]SADC!I123-[1]SADC!J123-J123&gt;0,I123+[1]SADC!I123-[1]SADC!J123-J123,0)</f>
        <v>36175</v>
      </c>
      <c r="L123" s="182">
        <f>+IF(J123+[1]SADC!J123-[1]SADC!I123-I123&gt;0,J123+[1]SADC!J123-[1]SADC!I123-I123,0)</f>
        <v>0</v>
      </c>
      <c r="M123" s="182">
        <f>+IF(K123+[1]SADC!K123-[1]SADC!L123-L123&gt;0,K123+[1]SADC!K123-[1]SADC!L123-L123,0)</f>
        <v>36175</v>
      </c>
      <c r="N123" s="182">
        <f>+IF(L123+[1]SADC!L123-[1]SADC!K123-K123&gt;0,L123+[1]SADC!L123-[1]SADC!K123-K123,0)</f>
        <v>0</v>
      </c>
      <c r="O123" s="182">
        <f>+IF(M123+[1]SADC!M123-[1]SADC!N123-N123&gt;0,M123+[1]SADC!M123-[1]SADC!N123-N123,0)</f>
        <v>36175</v>
      </c>
      <c r="P123" s="182">
        <f>+IF(N123+[1]SADC!N123-[1]SADC!M123-M123&gt;0,N123+[1]SADC!N123-[1]SADC!M123-M123,0)</f>
        <v>0</v>
      </c>
      <c r="Q123" s="182">
        <f>+IF(O123+[1]SADC!O123-[1]SADC!P123-P123&gt;0,O123+[1]SADC!O123-[1]SADC!P123-P123,0)</f>
        <v>36175</v>
      </c>
      <c r="R123" s="182">
        <f>+IF(P123+[1]SADC!P123-[1]SADC!O123-O123&gt;0,P123+[1]SADC!P123-[1]SADC!O123-O123,0)</f>
        <v>0</v>
      </c>
      <c r="S123" s="182">
        <f>+IF(Q123+[1]SADC!Q123-[1]SADC!R123-R123&gt;0,Q123+[1]SADC!Q123-[1]SADC!R123-R123,0)</f>
        <v>36175</v>
      </c>
      <c r="T123" s="182">
        <f>+IF(R123+[1]SADC!R123-[1]SADC!Q123-Q123&gt;0,R123+[1]SADC!R123-[1]SADC!Q123-Q123,0)</f>
        <v>0</v>
      </c>
      <c r="U123" s="182">
        <f>+IF(S123+[1]SADC!S123-[1]SADC!T123-T123&gt;0,S123+[1]SADC!S123-[1]SADC!T123-T123,0)</f>
        <v>36175</v>
      </c>
      <c r="V123" s="182">
        <f>+IF(T123+[1]SADC!T123-[1]SADC!S123-S123&gt;0,T123+[1]SADC!T123-[1]SADC!S123-S123,0)</f>
        <v>0</v>
      </c>
      <c r="W123" s="182">
        <f>+IF(U123+[1]SADC!U123-[1]SADC!V123-V123&gt;0,U123+[1]SADC!U123-[1]SADC!V123-V123,0)</f>
        <v>36175</v>
      </c>
      <c r="X123" s="182">
        <f>+IF(V123+[1]SADC!V123-[1]SADC!U123-U123&gt;0,V123+[1]SADC!V123-[1]SADC!U123-U123,0)</f>
        <v>0</v>
      </c>
      <c r="Y123" s="182">
        <f>+IF(W123+[1]SADC!W123-[1]SADC!X123-X123&gt;0,W123+[1]SADC!W123-[1]SADC!X123-X123,0)</f>
        <v>36175</v>
      </c>
      <c r="Z123" s="182">
        <f>+IF(X123+[1]SADC!X123-[1]SADC!W123-W123&gt;0,X123+[1]SADC!X123-[1]SADC!W123-W123,0)</f>
        <v>0</v>
      </c>
      <c r="AA123" s="182">
        <f>+IF(Y123+[1]SADC!Y123-[1]SADC!Z123-Z123&gt;0,Y123+[1]SADC!Y123-[1]SADC!Z123-Z123,0)</f>
        <v>36175</v>
      </c>
      <c r="AB123" s="182">
        <f>+IF(Z123+[1]SADC!Z123-[1]SADC!Y123-Y123&gt;0,Z123+[1]SADC!Z123-[1]SADC!Y123-Y123,0)</f>
        <v>0</v>
      </c>
      <c r="AC123" s="181"/>
      <c r="AD123" s="182">
        <f t="shared" si="1"/>
        <v>36175</v>
      </c>
      <c r="AE123" s="182">
        <f t="shared" si="1"/>
        <v>0</v>
      </c>
      <c r="AF123" s="181"/>
    </row>
    <row r="124" spans="1:32">
      <c r="A124" s="181" t="str">
        <f>+VLOOKUP(B124,'[1]coa-mgb'!A$1:B$65536,2,0)</f>
        <v>ECC Contributions</v>
      </c>
      <c r="B124" s="184" t="s">
        <v>150</v>
      </c>
      <c r="C124" s="182">
        <f>+SUMIFS('[1]50103040 00'!$F$1:$F$65536,'[1]50103040 00'!$D$1:$D$65536,"Beginning Balance",'[1]50103040 00'!$D$1:$D$65536,"Beginning Balance")</f>
        <v>0</v>
      </c>
      <c r="D124" s="182">
        <f>+SUMIFS('[1]50103040 00'!$H$1:$H$65536,'[1]50103040 00'!$D$1:$D$65536,"Beginning Balance",'[1]50103040 00'!$D$1:$D$65536,"Beginning Balance")</f>
        <v>0</v>
      </c>
      <c r="E124" s="182">
        <f>+IF(C124+[1]SADC!C124-[1]SADC!D124-D124&gt;0,C124+[1]SADC!C124-[1]SADC!D124-D124,0)</f>
        <v>3600</v>
      </c>
      <c r="F124" s="182">
        <f>+IF(D124+[1]SADC!D124-[1]SADC!C124-C124&gt;0,D124+[1]SADC!D124-[1]SADC!C124-C124,0)</f>
        <v>0</v>
      </c>
      <c r="G124" s="182">
        <f>+IF(E124+[1]SADC!E124-[1]SADC!F124-F124&gt;0,E124+[1]SADC!E124-[1]SADC!F124-F124,0)</f>
        <v>7300</v>
      </c>
      <c r="H124" s="182">
        <f>+IF(F124+[1]SADC!F124-[1]SADC!E124-E124&gt;0,F124+[1]SADC!F124-[1]SADC!E124-E124,0)</f>
        <v>0</v>
      </c>
      <c r="I124" s="182">
        <f>+IF(G124+[1]SADC!G124-[1]SADC!H124-H124&gt;0,G124+[1]SADC!G124-[1]SADC!H124-H124,0)</f>
        <v>11000</v>
      </c>
      <c r="J124" s="182">
        <f>+IF(H124+[1]SADC!H124-[1]SADC!G124-G124&gt;0,H124+[1]SADC!H124-[1]SADC!G124-G124,0)</f>
        <v>0</v>
      </c>
      <c r="K124" s="182">
        <f>+IF(I124+[1]SADC!I124-[1]SADC!J124-J124&gt;0,I124+[1]SADC!I124-[1]SADC!J124-J124,0)</f>
        <v>11000</v>
      </c>
      <c r="L124" s="182">
        <f>+IF(J124+[1]SADC!J124-[1]SADC!I124-I124&gt;0,J124+[1]SADC!J124-[1]SADC!I124-I124,0)</f>
        <v>0</v>
      </c>
      <c r="M124" s="182">
        <f>+IF(K124+[1]SADC!K124-[1]SADC!L124-L124&gt;0,K124+[1]SADC!K124-[1]SADC!L124-L124,0)</f>
        <v>11000</v>
      </c>
      <c r="N124" s="182">
        <f>+IF(L124+[1]SADC!L124-[1]SADC!K124-K124&gt;0,L124+[1]SADC!L124-[1]SADC!K124-K124,0)</f>
        <v>0</v>
      </c>
      <c r="O124" s="182">
        <f>+IF(M124+[1]SADC!M124-[1]SADC!N124-N124&gt;0,M124+[1]SADC!M124-[1]SADC!N124-N124,0)</f>
        <v>11000</v>
      </c>
      <c r="P124" s="182">
        <f>+IF(N124+[1]SADC!N124-[1]SADC!M124-M124&gt;0,N124+[1]SADC!N124-[1]SADC!M124-M124,0)</f>
        <v>0</v>
      </c>
      <c r="Q124" s="182">
        <f>+IF(O124+[1]SADC!O124-[1]SADC!P124-P124&gt;0,O124+[1]SADC!O124-[1]SADC!P124-P124,0)</f>
        <v>11000</v>
      </c>
      <c r="R124" s="182">
        <f>+IF(P124+[1]SADC!P124-[1]SADC!O124-O124&gt;0,P124+[1]SADC!P124-[1]SADC!O124-O124,0)</f>
        <v>0</v>
      </c>
      <c r="S124" s="182">
        <f>+IF(Q124+[1]SADC!Q124-[1]SADC!R124-R124&gt;0,Q124+[1]SADC!Q124-[1]SADC!R124-R124,0)</f>
        <v>11000</v>
      </c>
      <c r="T124" s="182">
        <f>+IF(R124+[1]SADC!R124-[1]SADC!Q124-Q124&gt;0,R124+[1]SADC!R124-[1]SADC!Q124-Q124,0)</f>
        <v>0</v>
      </c>
      <c r="U124" s="182">
        <f>+IF(S124+[1]SADC!S124-[1]SADC!T124-T124&gt;0,S124+[1]SADC!S124-[1]SADC!T124-T124,0)</f>
        <v>11000</v>
      </c>
      <c r="V124" s="182">
        <f>+IF(T124+[1]SADC!T124-[1]SADC!S124-S124&gt;0,T124+[1]SADC!T124-[1]SADC!S124-S124,0)</f>
        <v>0</v>
      </c>
      <c r="W124" s="182">
        <f>+IF(U124+[1]SADC!U124-[1]SADC!V124-V124&gt;0,U124+[1]SADC!U124-[1]SADC!V124-V124,0)</f>
        <v>11000</v>
      </c>
      <c r="X124" s="182">
        <f>+IF(V124+[1]SADC!V124-[1]SADC!U124-U124&gt;0,V124+[1]SADC!V124-[1]SADC!U124-U124,0)</f>
        <v>0</v>
      </c>
      <c r="Y124" s="182">
        <f>+IF(W124+[1]SADC!W124-[1]SADC!X124-X124&gt;0,W124+[1]SADC!W124-[1]SADC!X124-X124,0)</f>
        <v>11000</v>
      </c>
      <c r="Z124" s="182">
        <f>+IF(X124+[1]SADC!X124-[1]SADC!W124-W124&gt;0,X124+[1]SADC!X124-[1]SADC!W124-W124,0)</f>
        <v>0</v>
      </c>
      <c r="AA124" s="182">
        <f>+IF(Y124+[1]SADC!Y124-[1]SADC!Z124-Z124&gt;0,Y124+[1]SADC!Y124-[1]SADC!Z124-Z124,0)</f>
        <v>11000</v>
      </c>
      <c r="AB124" s="182">
        <f>+IF(Z124+[1]SADC!Z124-[1]SADC!Y124-Y124&gt;0,Z124+[1]SADC!Z124-[1]SADC!Y124-Y124,0)</f>
        <v>0</v>
      </c>
      <c r="AC124" s="181"/>
      <c r="AD124" s="182">
        <f t="shared" si="1"/>
        <v>11000</v>
      </c>
      <c r="AE124" s="182">
        <f t="shared" si="1"/>
        <v>0</v>
      </c>
      <c r="AF124" s="181"/>
    </row>
    <row r="125" spans="1:32">
      <c r="A125" s="181" t="str">
        <f>+VLOOKUP(B125,'[1]coa-mgb'!A$1:B$65536,2,0)</f>
        <v>Retirement Gratuity</v>
      </c>
      <c r="B125" s="184" t="s">
        <v>151</v>
      </c>
      <c r="C125" s="182">
        <f>+SUMIFS('[1]50104020 00'!$F$1:$F$65536,'[1]50104020 00'!$D$1:$D$65536,"Beginning Balance",'[1]50104020 00'!$D$1:$D$65536,"Beginning Balance")</f>
        <v>0</v>
      </c>
      <c r="D125" s="182">
        <f>+SUMIFS('[1]50104020 00'!$H$1:$H$65536,'[1]50104020 00'!$D$1:$D$65536,"Beginning Balance",'[1]50104020 00'!$D$1:$D$65536,"Beginning Balance")</f>
        <v>0</v>
      </c>
      <c r="E125" s="182">
        <f>+IF(C125+[1]SADC!C125-[1]SADC!D125-D125&gt;0,C125+[1]SADC!C125-[1]SADC!D125-D125,0)</f>
        <v>0</v>
      </c>
      <c r="F125" s="182">
        <f>+IF(D125+[1]SADC!D125-[1]SADC!C125-C125&gt;0,D125+[1]SADC!D125-[1]SADC!C125-C125,0)</f>
        <v>0</v>
      </c>
      <c r="G125" s="182">
        <f>+IF(E125+[1]SADC!E125-[1]SADC!F125-F125&gt;0,E125+[1]SADC!E125-[1]SADC!F125-F125,0)</f>
        <v>0</v>
      </c>
      <c r="H125" s="182">
        <f>+IF(F125+[1]SADC!F125-[1]SADC!E125-E125&gt;0,F125+[1]SADC!F125-[1]SADC!E125-E125,0)</f>
        <v>0</v>
      </c>
      <c r="I125" s="182">
        <f>+IF(G125+[1]SADC!G125-[1]SADC!H125-H125&gt;0,G125+[1]SADC!G125-[1]SADC!H125-H125,0)</f>
        <v>0</v>
      </c>
      <c r="J125" s="182">
        <f>+IF(H125+[1]SADC!H125-[1]SADC!G125-G125&gt;0,H125+[1]SADC!H125-[1]SADC!G125-G125,0)</f>
        <v>0</v>
      </c>
      <c r="K125" s="182">
        <f>+IF(I125+[1]SADC!I125-[1]SADC!J125-J125&gt;0,I125+[1]SADC!I125-[1]SADC!J125-J125,0)</f>
        <v>0</v>
      </c>
      <c r="L125" s="182">
        <f>+IF(J125+[1]SADC!J125-[1]SADC!I125-I125&gt;0,J125+[1]SADC!J125-[1]SADC!I125-I125,0)</f>
        <v>0</v>
      </c>
      <c r="M125" s="182">
        <f>+IF(K125+[1]SADC!K125-[1]SADC!L125-L125&gt;0,K125+[1]SADC!K125-[1]SADC!L125-L125,0)</f>
        <v>0</v>
      </c>
      <c r="N125" s="182">
        <f>+IF(L125+[1]SADC!L125-[1]SADC!K125-K125&gt;0,L125+[1]SADC!L125-[1]SADC!K125-K125,0)</f>
        <v>0</v>
      </c>
      <c r="O125" s="182">
        <f>+IF(M125+[1]SADC!M125-[1]SADC!N125-N125&gt;0,M125+[1]SADC!M125-[1]SADC!N125-N125,0)</f>
        <v>0</v>
      </c>
      <c r="P125" s="182">
        <f>+IF(N125+[1]SADC!N125-[1]SADC!M125-M125&gt;0,N125+[1]SADC!N125-[1]SADC!M125-M125,0)</f>
        <v>0</v>
      </c>
      <c r="Q125" s="182">
        <f>+IF(O125+[1]SADC!O125-[1]SADC!P125-P125&gt;0,O125+[1]SADC!O125-[1]SADC!P125-P125,0)</f>
        <v>0</v>
      </c>
      <c r="R125" s="182">
        <f>+IF(P125+[1]SADC!P125-[1]SADC!O125-O125&gt;0,P125+[1]SADC!P125-[1]SADC!O125-O125,0)</f>
        <v>0</v>
      </c>
      <c r="S125" s="182">
        <f>+IF(Q125+[1]SADC!Q125-[1]SADC!R125-R125&gt;0,Q125+[1]SADC!Q125-[1]SADC!R125-R125,0)</f>
        <v>0</v>
      </c>
      <c r="T125" s="182">
        <f>+IF(R125+[1]SADC!R125-[1]SADC!Q125-Q125&gt;0,R125+[1]SADC!R125-[1]SADC!Q125-Q125,0)</f>
        <v>0</v>
      </c>
      <c r="U125" s="182">
        <f>+IF(S125+[1]SADC!S125-[1]SADC!T125-T125&gt;0,S125+[1]SADC!S125-[1]SADC!T125-T125,0)</f>
        <v>0</v>
      </c>
      <c r="V125" s="182">
        <f>+IF(T125+[1]SADC!T125-[1]SADC!S125-S125&gt;0,T125+[1]SADC!T125-[1]SADC!S125-S125,0)</f>
        <v>0</v>
      </c>
      <c r="W125" s="182">
        <f>+IF(U125+[1]SADC!U125-[1]SADC!V125-V125&gt;0,U125+[1]SADC!U125-[1]SADC!V125-V125,0)</f>
        <v>0</v>
      </c>
      <c r="X125" s="182">
        <f>+IF(V125+[1]SADC!V125-[1]SADC!U125-U125&gt;0,V125+[1]SADC!V125-[1]SADC!U125-U125,0)</f>
        <v>0</v>
      </c>
      <c r="Y125" s="182">
        <f>+IF(W125+[1]SADC!W125-[1]SADC!X125-X125&gt;0,W125+[1]SADC!W125-[1]SADC!X125-X125,0)</f>
        <v>0</v>
      </c>
      <c r="Z125" s="182">
        <f>+IF(X125+[1]SADC!X125-[1]SADC!W125-W125&gt;0,X125+[1]SADC!X125-[1]SADC!W125-W125,0)</f>
        <v>0</v>
      </c>
      <c r="AA125" s="182">
        <f>+IF(Y125+[1]SADC!Y125-[1]SADC!Z125-Z125&gt;0,Y125+[1]SADC!Y125-[1]SADC!Z125-Z125,0)</f>
        <v>0</v>
      </c>
      <c r="AB125" s="182">
        <f>+IF(Z125+[1]SADC!Z125-[1]SADC!Y125-Y125&gt;0,Z125+[1]SADC!Z125-[1]SADC!Y125-Y125,0)</f>
        <v>0</v>
      </c>
      <c r="AC125" s="181"/>
      <c r="AD125" s="182">
        <f t="shared" si="1"/>
        <v>0</v>
      </c>
      <c r="AE125" s="182">
        <f t="shared" si="1"/>
        <v>0</v>
      </c>
      <c r="AF125" s="181"/>
    </row>
    <row r="126" spans="1:32">
      <c r="A126" s="181" t="str">
        <f>+VLOOKUP(B126,'[1]coa-mgb'!A$1:B$65536,2,0)</f>
        <v>Terminal Leave Benefits</v>
      </c>
      <c r="B126" s="184" t="s">
        <v>152</v>
      </c>
      <c r="C126" s="182">
        <f>+SUMIFS('[1]50104030 00'!$F$1:$F$65536,'[1]50104030 00'!$D$1:$D$65536,"Beginning Balance",'[1]50104030 00'!$D$1:$D$65536,"Beginning Balance")</f>
        <v>0</v>
      </c>
      <c r="D126" s="182">
        <f>+SUMIFS('[1]50104030 00'!$H$1:$H$65536,'[1]50104030 00'!$D$1:$D$65536,"Beginning Balance",'[1]50104030 00'!$D$1:$D$65536,"Beginning Balance")</f>
        <v>0</v>
      </c>
      <c r="E126" s="182">
        <f>+IF(C126+[1]SADC!C126-[1]SADC!D126-D126&gt;0,C126+[1]SADC!C126-[1]SADC!D126-D126,0)</f>
        <v>0</v>
      </c>
      <c r="F126" s="182">
        <f>+IF(D126+[1]SADC!D126-[1]SADC!C126-C126&gt;0,D126+[1]SADC!D126-[1]SADC!C126-C126,0)</f>
        <v>0</v>
      </c>
      <c r="G126" s="182">
        <f>+IF(E126+[1]SADC!E126-[1]SADC!F126-F126&gt;0,E126+[1]SADC!E126-[1]SADC!F126-F126,0)</f>
        <v>0</v>
      </c>
      <c r="H126" s="182">
        <f>+IF(F126+[1]SADC!F126-[1]SADC!E126-E126&gt;0,F126+[1]SADC!F126-[1]SADC!E126-E126,0)</f>
        <v>0</v>
      </c>
      <c r="I126" s="182">
        <f>+IF(G126+[1]SADC!G126-[1]SADC!H126-H126&gt;0,G126+[1]SADC!G126-[1]SADC!H126-H126,0)</f>
        <v>0</v>
      </c>
      <c r="J126" s="182">
        <f>+IF(H126+[1]SADC!H126-[1]SADC!G126-G126&gt;0,H126+[1]SADC!H126-[1]SADC!G126-G126,0)</f>
        <v>0</v>
      </c>
      <c r="K126" s="182">
        <f>+IF(I126+[1]SADC!I126-[1]SADC!J126-J126&gt;0,I126+[1]SADC!I126-[1]SADC!J126-J126,0)</f>
        <v>0</v>
      </c>
      <c r="L126" s="182">
        <f>+IF(J126+[1]SADC!J126-[1]SADC!I126-I126&gt;0,J126+[1]SADC!J126-[1]SADC!I126-I126,0)</f>
        <v>0</v>
      </c>
      <c r="M126" s="182">
        <f>+IF(K126+[1]SADC!K126-[1]SADC!L126-L126&gt;0,K126+[1]SADC!K126-[1]SADC!L126-L126,0)</f>
        <v>0</v>
      </c>
      <c r="N126" s="182">
        <f>+IF(L126+[1]SADC!L126-[1]SADC!K126-K126&gt;0,L126+[1]SADC!L126-[1]SADC!K126-K126,0)</f>
        <v>0</v>
      </c>
      <c r="O126" s="182">
        <f>+IF(M126+[1]SADC!M126-[1]SADC!N126-N126&gt;0,M126+[1]SADC!M126-[1]SADC!N126-N126,0)</f>
        <v>0</v>
      </c>
      <c r="P126" s="182">
        <f>+IF(N126+[1]SADC!N126-[1]SADC!M126-M126&gt;0,N126+[1]SADC!N126-[1]SADC!M126-M126,0)</f>
        <v>0</v>
      </c>
      <c r="Q126" s="182">
        <f>+IF(O126+[1]SADC!O126-[1]SADC!P126-P126&gt;0,O126+[1]SADC!O126-[1]SADC!P126-P126,0)</f>
        <v>0</v>
      </c>
      <c r="R126" s="182">
        <f>+IF(P126+[1]SADC!P126-[1]SADC!O126-O126&gt;0,P126+[1]SADC!P126-[1]SADC!O126-O126,0)</f>
        <v>0</v>
      </c>
      <c r="S126" s="182">
        <f>+IF(Q126+[1]SADC!Q126-[1]SADC!R126-R126&gt;0,Q126+[1]SADC!Q126-[1]SADC!R126-R126,0)</f>
        <v>0</v>
      </c>
      <c r="T126" s="182">
        <f>+IF(R126+[1]SADC!R126-[1]SADC!Q126-Q126&gt;0,R126+[1]SADC!R126-[1]SADC!Q126-Q126,0)</f>
        <v>0</v>
      </c>
      <c r="U126" s="182">
        <f>+IF(S126+[1]SADC!S126-[1]SADC!T126-T126&gt;0,S126+[1]SADC!S126-[1]SADC!T126-T126,0)</f>
        <v>0</v>
      </c>
      <c r="V126" s="182">
        <f>+IF(T126+[1]SADC!T126-[1]SADC!S126-S126&gt;0,T126+[1]SADC!T126-[1]SADC!S126-S126,0)</f>
        <v>0</v>
      </c>
      <c r="W126" s="182">
        <f>+IF(U126+[1]SADC!U126-[1]SADC!V126-V126&gt;0,U126+[1]SADC!U126-[1]SADC!V126-V126,0)</f>
        <v>0</v>
      </c>
      <c r="X126" s="182">
        <f>+IF(V126+[1]SADC!V126-[1]SADC!U126-U126&gt;0,V126+[1]SADC!V126-[1]SADC!U126-U126,0)</f>
        <v>0</v>
      </c>
      <c r="Y126" s="182">
        <f>+IF(W126+[1]SADC!W126-[1]SADC!X126-X126&gt;0,W126+[1]SADC!W126-[1]SADC!X126-X126,0)</f>
        <v>0</v>
      </c>
      <c r="Z126" s="182">
        <f>+IF(X126+[1]SADC!X126-[1]SADC!W126-W126&gt;0,X126+[1]SADC!X126-[1]SADC!W126-W126,0)</f>
        <v>0</v>
      </c>
      <c r="AA126" s="182">
        <f>+IF(Y126+[1]SADC!Y126-[1]SADC!Z126-Z126&gt;0,Y126+[1]SADC!Y126-[1]SADC!Z126-Z126,0)</f>
        <v>0</v>
      </c>
      <c r="AB126" s="182">
        <f>+IF(Z126+[1]SADC!Z126-[1]SADC!Y126-Y126&gt;0,Z126+[1]SADC!Z126-[1]SADC!Y126-Y126,0)</f>
        <v>0</v>
      </c>
      <c r="AC126" s="181"/>
      <c r="AD126" s="182">
        <f t="shared" si="1"/>
        <v>0</v>
      </c>
      <c r="AE126" s="182">
        <f t="shared" si="1"/>
        <v>0</v>
      </c>
      <c r="AF126" s="181"/>
    </row>
    <row r="127" spans="1:32">
      <c r="A127" s="181" t="str">
        <f>+VLOOKUP(B127,'[1]coa-mgb'!A$1:B$65536,2,0)</f>
        <v>Other Personnel Benefits</v>
      </c>
      <c r="B127" s="184" t="s">
        <v>153</v>
      </c>
      <c r="C127" s="182">
        <f>+SUMIFS('[1]50104990 00'!$F$1:$F$65536,'[1]50104990 00'!$D$1:$D$65536,"Beginning Balance",'[1]50104990 00'!$D$1:$D$65536,"Beginning Balance")</f>
        <v>0</v>
      </c>
      <c r="D127" s="182">
        <f>+SUMIFS('[1]50104990 00'!$H$1:$H$65536,'[1]50104990 00'!$D$1:$D$65536,"Beginning Balance",'[1]50104990 00'!$D$1:$D$65536,"Beginning Balance")</f>
        <v>0</v>
      </c>
      <c r="E127" s="182">
        <f>+IF(C127+[1]SADC!C127-[1]SADC!D127-D127&gt;0,C127+[1]SADC!C127-[1]SADC!D127-D127,0)</f>
        <v>0</v>
      </c>
      <c r="F127" s="182">
        <f>+IF(D127+[1]SADC!D127-[1]SADC!C127-C127&gt;0,D127+[1]SADC!D127-[1]SADC!C127-C127,0)</f>
        <v>0</v>
      </c>
      <c r="G127" s="182">
        <f>+IF(E127+[1]SADC!E127-[1]SADC!F127-F127&gt;0,E127+[1]SADC!E127-[1]SADC!F127-F127,0)</f>
        <v>0</v>
      </c>
      <c r="H127" s="182">
        <f>+IF(F127+[1]SADC!F127-[1]SADC!E127-E127&gt;0,F127+[1]SADC!F127-[1]SADC!E127-E127,0)</f>
        <v>0</v>
      </c>
      <c r="I127" s="182">
        <f>+IF(G127+[1]SADC!G127-[1]SADC!H127-H127&gt;0,G127+[1]SADC!G127-[1]SADC!H127-H127,0)</f>
        <v>0</v>
      </c>
      <c r="J127" s="182">
        <f>+IF(H127+[1]SADC!H127-[1]SADC!G127-G127&gt;0,H127+[1]SADC!H127-[1]SADC!G127-G127,0)</f>
        <v>0</v>
      </c>
      <c r="K127" s="182">
        <f>+IF(I127+[1]SADC!I127-[1]SADC!J127-J127&gt;0,I127+[1]SADC!I127-[1]SADC!J127-J127,0)</f>
        <v>0</v>
      </c>
      <c r="L127" s="182">
        <f>+IF(J127+[1]SADC!J127-[1]SADC!I127-I127&gt;0,J127+[1]SADC!J127-[1]SADC!I127-I127,0)</f>
        <v>0</v>
      </c>
      <c r="M127" s="182">
        <f>+IF(K127+[1]SADC!K127-[1]SADC!L127-L127&gt;0,K127+[1]SADC!K127-[1]SADC!L127-L127,0)</f>
        <v>0</v>
      </c>
      <c r="N127" s="182">
        <f>+IF(L127+[1]SADC!L127-[1]SADC!K127-K127&gt;0,L127+[1]SADC!L127-[1]SADC!K127-K127,0)</f>
        <v>0</v>
      </c>
      <c r="O127" s="182">
        <f>+IF(M127+[1]SADC!M127-[1]SADC!N127-N127&gt;0,M127+[1]SADC!M127-[1]SADC!N127-N127,0)</f>
        <v>0</v>
      </c>
      <c r="P127" s="182">
        <f>+IF(N127+[1]SADC!N127-[1]SADC!M127-M127&gt;0,N127+[1]SADC!N127-[1]SADC!M127-M127,0)</f>
        <v>0</v>
      </c>
      <c r="Q127" s="182">
        <f>+IF(O127+[1]SADC!O127-[1]SADC!P127-P127&gt;0,O127+[1]SADC!O127-[1]SADC!P127-P127,0)</f>
        <v>0</v>
      </c>
      <c r="R127" s="182">
        <f>+IF(P127+[1]SADC!P127-[1]SADC!O127-O127&gt;0,P127+[1]SADC!P127-[1]SADC!O127-O127,0)</f>
        <v>0</v>
      </c>
      <c r="S127" s="182">
        <f>+IF(Q127+[1]SADC!Q127-[1]SADC!R127-R127&gt;0,Q127+[1]SADC!Q127-[1]SADC!R127-R127,0)</f>
        <v>0</v>
      </c>
      <c r="T127" s="182">
        <f>+IF(R127+[1]SADC!R127-[1]SADC!Q127-Q127&gt;0,R127+[1]SADC!R127-[1]SADC!Q127-Q127,0)</f>
        <v>0</v>
      </c>
      <c r="U127" s="182">
        <f>+IF(S127+[1]SADC!S127-[1]SADC!T127-T127&gt;0,S127+[1]SADC!S127-[1]SADC!T127-T127,0)</f>
        <v>0</v>
      </c>
      <c r="V127" s="182">
        <f>+IF(T127+[1]SADC!T127-[1]SADC!S127-S127&gt;0,T127+[1]SADC!T127-[1]SADC!S127-S127,0)</f>
        <v>0</v>
      </c>
      <c r="W127" s="182">
        <f>+IF(U127+[1]SADC!U127-[1]SADC!V127-V127&gt;0,U127+[1]SADC!U127-[1]SADC!V127-V127,0)</f>
        <v>0</v>
      </c>
      <c r="X127" s="182">
        <f>+IF(V127+[1]SADC!V127-[1]SADC!U127-U127&gt;0,V127+[1]SADC!V127-[1]SADC!U127-U127,0)</f>
        <v>0</v>
      </c>
      <c r="Y127" s="182">
        <f>+IF(W127+[1]SADC!W127-[1]SADC!X127-X127&gt;0,W127+[1]SADC!W127-[1]SADC!X127-X127,0)</f>
        <v>0</v>
      </c>
      <c r="Z127" s="182">
        <f>+IF(X127+[1]SADC!X127-[1]SADC!W127-W127&gt;0,X127+[1]SADC!X127-[1]SADC!W127-W127,0)</f>
        <v>0</v>
      </c>
      <c r="AA127" s="182">
        <f>+IF(Y127+[1]SADC!Y127-[1]SADC!Z127-Z127&gt;0,Y127+[1]SADC!Y127-[1]SADC!Z127-Z127,0)</f>
        <v>0</v>
      </c>
      <c r="AB127" s="182">
        <f>+IF(Z127+[1]SADC!Z127-[1]SADC!Y127-Y127&gt;0,Z127+[1]SADC!Z127-[1]SADC!Y127-Y127,0)</f>
        <v>0</v>
      </c>
      <c r="AC127" s="181"/>
      <c r="AD127" s="182">
        <f t="shared" si="1"/>
        <v>0</v>
      </c>
      <c r="AE127" s="182">
        <f t="shared" si="1"/>
        <v>0</v>
      </c>
      <c r="AF127" s="181"/>
    </row>
    <row r="128" spans="1:32">
      <c r="A128" s="181" t="str">
        <f>+VLOOKUP(B128,'[1]coa-mgb'!A$1:B$65536,2,0)</f>
        <v>Travelling Expense - Local</v>
      </c>
      <c r="B128" s="184" t="s">
        <v>154</v>
      </c>
      <c r="C128" s="182">
        <f>+SUMIFS('[1]50201010 00'!$F$1:$F$65536,'[1]50201010 00'!$D$1:$D$65536,"Beginning Balance",'[1]50201010 00'!$D$1:$D$65536,"Beginning Balance")</f>
        <v>0</v>
      </c>
      <c r="D128" s="182">
        <f>+SUMIFS('[1]50201010 00'!$H$1:$H$65536,'[1]50201010 00'!$D$1:$D$65536,"Beginning Balance",'[1]50201010 00'!$D$1:$D$65536,"Beginning Balance")</f>
        <v>0</v>
      </c>
      <c r="E128" s="182">
        <f>+IF(C128+[1]SADC!C128-[1]SADC!D128-D128&gt;0,C128+[1]SADC!C128-[1]SADC!D128-D128,0)</f>
        <v>28749.5</v>
      </c>
      <c r="F128" s="182">
        <f>+IF(D128+[1]SADC!D128-[1]SADC!C128-C128&gt;0,D128+[1]SADC!D128-[1]SADC!C128-C128,0)</f>
        <v>0</v>
      </c>
      <c r="G128" s="182">
        <f>+IF(E128+[1]SADC!E128-[1]SADC!F128-F128&gt;0,E128+[1]SADC!E128-[1]SADC!F128-F128,0)</f>
        <v>135490.07999999999</v>
      </c>
      <c r="H128" s="182">
        <f>+IF(F128+[1]SADC!F128-[1]SADC!E128-E128&gt;0,F128+[1]SADC!F128-[1]SADC!E128-E128,0)</f>
        <v>0</v>
      </c>
      <c r="I128" s="182">
        <f>+IF(G128+[1]SADC!G128-[1]SADC!H128-H128&gt;0,G128+[1]SADC!G128-[1]SADC!H128-H128,0)</f>
        <v>343640.04</v>
      </c>
      <c r="J128" s="182">
        <f>+IF(H128+[1]SADC!H128-[1]SADC!G128-G128&gt;0,H128+[1]SADC!H128-[1]SADC!G128-G128,0)</f>
        <v>0</v>
      </c>
      <c r="K128" s="182">
        <f>+IF(I128+[1]SADC!I128-[1]SADC!J128-J128&gt;0,I128+[1]SADC!I128-[1]SADC!J128-J128,0)</f>
        <v>343640.04</v>
      </c>
      <c r="L128" s="182">
        <f>+IF(J128+[1]SADC!J128-[1]SADC!I128-I128&gt;0,J128+[1]SADC!J128-[1]SADC!I128-I128,0)</f>
        <v>0</v>
      </c>
      <c r="M128" s="182">
        <f>+IF(K128+[1]SADC!K128-[1]SADC!L128-L128&gt;0,K128+[1]SADC!K128-[1]SADC!L128-L128,0)</f>
        <v>343640.04</v>
      </c>
      <c r="N128" s="182">
        <f>+IF(L128+[1]SADC!L128-[1]SADC!K128-K128&gt;0,L128+[1]SADC!L128-[1]SADC!K128-K128,0)</f>
        <v>0</v>
      </c>
      <c r="O128" s="182">
        <f>+IF(M128+[1]SADC!M128-[1]SADC!N128-N128&gt;0,M128+[1]SADC!M128-[1]SADC!N128-N128,0)</f>
        <v>343640.04</v>
      </c>
      <c r="P128" s="182">
        <f>+IF(N128+[1]SADC!N128-[1]SADC!M128-M128&gt;0,N128+[1]SADC!N128-[1]SADC!M128-M128,0)</f>
        <v>0</v>
      </c>
      <c r="Q128" s="182">
        <f>+IF(O128+[1]SADC!O128-[1]SADC!P128-P128&gt;0,O128+[1]SADC!O128-[1]SADC!P128-P128,0)</f>
        <v>343640.04</v>
      </c>
      <c r="R128" s="182">
        <f>+IF(P128+[1]SADC!P128-[1]SADC!O128-O128&gt;0,P128+[1]SADC!P128-[1]SADC!O128-O128,0)</f>
        <v>0</v>
      </c>
      <c r="S128" s="182">
        <f>+IF(Q128+[1]SADC!Q128-[1]SADC!R128-R128&gt;0,Q128+[1]SADC!Q128-[1]SADC!R128-R128,0)</f>
        <v>343640.04</v>
      </c>
      <c r="T128" s="182">
        <f>+IF(R128+[1]SADC!R128-[1]SADC!Q128-Q128&gt;0,R128+[1]SADC!R128-[1]SADC!Q128-Q128,0)</f>
        <v>0</v>
      </c>
      <c r="U128" s="182">
        <f>+IF(S128+[1]SADC!S128-[1]SADC!T128-T128&gt;0,S128+[1]SADC!S128-[1]SADC!T128-T128,0)</f>
        <v>343640.04</v>
      </c>
      <c r="V128" s="182">
        <f>+IF(T128+[1]SADC!T128-[1]SADC!S128-S128&gt;0,T128+[1]SADC!T128-[1]SADC!S128-S128,0)</f>
        <v>0</v>
      </c>
      <c r="W128" s="182">
        <f>+IF(U128+[1]SADC!U128-[1]SADC!V128-V128&gt;0,U128+[1]SADC!U128-[1]SADC!V128-V128,0)</f>
        <v>343640.04</v>
      </c>
      <c r="X128" s="182">
        <f>+IF(V128+[1]SADC!V128-[1]SADC!U128-U128&gt;0,V128+[1]SADC!V128-[1]SADC!U128-U128,0)</f>
        <v>0</v>
      </c>
      <c r="Y128" s="182">
        <f>+IF(W128+[1]SADC!W128-[1]SADC!X128-X128&gt;0,W128+[1]SADC!W128-[1]SADC!X128-X128,0)</f>
        <v>343640.04</v>
      </c>
      <c r="Z128" s="182">
        <f>+IF(X128+[1]SADC!X128-[1]SADC!W128-W128&gt;0,X128+[1]SADC!X128-[1]SADC!W128-W128,0)</f>
        <v>0</v>
      </c>
      <c r="AA128" s="182">
        <f>+IF(Y128+[1]SADC!Y128-[1]SADC!Z128-Z128&gt;0,Y128+[1]SADC!Y128-[1]SADC!Z128-Z128,0)</f>
        <v>343640.04</v>
      </c>
      <c r="AB128" s="182">
        <f>+IF(Z128+[1]SADC!Z128-[1]SADC!Y128-Y128&gt;0,Z128+[1]SADC!Z128-[1]SADC!Y128-Y128,0)</f>
        <v>0</v>
      </c>
      <c r="AC128" s="181"/>
      <c r="AD128" s="182">
        <f t="shared" si="1"/>
        <v>343640.04</v>
      </c>
      <c r="AE128" s="182">
        <f t="shared" si="1"/>
        <v>0</v>
      </c>
      <c r="AF128" s="181"/>
    </row>
    <row r="129" spans="1:32">
      <c r="A129" s="181" t="str">
        <f>+VLOOKUP(B129,'[1]coa-mgb'!A$1:B$65536,2,0)</f>
        <v>Travelling Expense - Foreign</v>
      </c>
      <c r="B129" s="184" t="s">
        <v>155</v>
      </c>
      <c r="C129" s="182">
        <f>+SUMIFS('[1]50201020 00'!$F$1:$F$65536,'[1]50201020 00'!$D$1:$D$65536,"Beginning Balance",'[1]50201020 00'!$D$1:$D$65536,"Beginning Balance")</f>
        <v>0</v>
      </c>
      <c r="D129" s="182">
        <f>+SUMIFS('[1]50201020 00'!$H$1:$H$65536,'[1]50201020 00'!$D$1:$D$65536,"Beginning Balance",'[1]50201020 00'!$D$1:$D$65536,"Beginning Balance")</f>
        <v>0</v>
      </c>
      <c r="E129" s="182">
        <f>+IF(C129+[1]SADC!C129-[1]SADC!D129-D129&gt;0,C129+[1]SADC!C129-[1]SADC!D129-D129,0)</f>
        <v>0</v>
      </c>
      <c r="F129" s="182">
        <f>+IF(D129+[1]SADC!D129-[1]SADC!C129-C129&gt;0,D129+[1]SADC!D129-[1]SADC!C129-C129,0)</f>
        <v>0</v>
      </c>
      <c r="G129" s="182">
        <f>+IF(E129+[1]SADC!E129-[1]SADC!F129-F129&gt;0,E129+[1]SADC!E129-[1]SADC!F129-F129,0)</f>
        <v>0</v>
      </c>
      <c r="H129" s="182">
        <f>+IF(F129+[1]SADC!F129-[1]SADC!E129-E129&gt;0,F129+[1]SADC!F129-[1]SADC!E129-E129,0)</f>
        <v>0</v>
      </c>
      <c r="I129" s="182">
        <f>+IF(G129+[1]SADC!G129-[1]SADC!H129-H129&gt;0,G129+[1]SADC!G129-[1]SADC!H129-H129,0)</f>
        <v>0</v>
      </c>
      <c r="J129" s="182">
        <f>+IF(H129+[1]SADC!H129-[1]SADC!G129-G129&gt;0,H129+[1]SADC!H129-[1]SADC!G129-G129,0)</f>
        <v>0</v>
      </c>
      <c r="K129" s="182">
        <f>+IF(I129+[1]SADC!I129-[1]SADC!J129-J129&gt;0,I129+[1]SADC!I129-[1]SADC!J129-J129,0)</f>
        <v>0</v>
      </c>
      <c r="L129" s="182">
        <f>+IF(J129+[1]SADC!J129-[1]SADC!I129-I129&gt;0,J129+[1]SADC!J129-[1]SADC!I129-I129,0)</f>
        <v>0</v>
      </c>
      <c r="M129" s="182">
        <f>+IF(K129+[1]SADC!K129-[1]SADC!L129-L129&gt;0,K129+[1]SADC!K129-[1]SADC!L129-L129,0)</f>
        <v>0</v>
      </c>
      <c r="N129" s="182">
        <f>+IF(L129+[1]SADC!L129-[1]SADC!K129-K129&gt;0,L129+[1]SADC!L129-[1]SADC!K129-K129,0)</f>
        <v>0</v>
      </c>
      <c r="O129" s="182">
        <f>+IF(M129+[1]SADC!M129-[1]SADC!N129-N129&gt;0,M129+[1]SADC!M129-[1]SADC!N129-N129,0)</f>
        <v>0</v>
      </c>
      <c r="P129" s="182">
        <f>+IF(N129+[1]SADC!N129-[1]SADC!M129-M129&gt;0,N129+[1]SADC!N129-[1]SADC!M129-M129,0)</f>
        <v>0</v>
      </c>
      <c r="Q129" s="182">
        <f>+IF(O129+[1]SADC!O129-[1]SADC!P129-P129&gt;0,O129+[1]SADC!O129-[1]SADC!P129-P129,0)</f>
        <v>0</v>
      </c>
      <c r="R129" s="182">
        <f>+IF(P129+[1]SADC!P129-[1]SADC!O129-O129&gt;0,P129+[1]SADC!P129-[1]SADC!O129-O129,0)</f>
        <v>0</v>
      </c>
      <c r="S129" s="182">
        <f>+IF(Q129+[1]SADC!Q129-[1]SADC!R129-R129&gt;0,Q129+[1]SADC!Q129-[1]SADC!R129-R129,0)</f>
        <v>0</v>
      </c>
      <c r="T129" s="182">
        <f>+IF(R129+[1]SADC!R129-[1]SADC!Q129-Q129&gt;0,R129+[1]SADC!R129-[1]SADC!Q129-Q129,0)</f>
        <v>0</v>
      </c>
      <c r="U129" s="182">
        <f>+IF(S129+[1]SADC!S129-[1]SADC!T129-T129&gt;0,S129+[1]SADC!S129-[1]SADC!T129-T129,0)</f>
        <v>0</v>
      </c>
      <c r="V129" s="182">
        <f>+IF(T129+[1]SADC!T129-[1]SADC!S129-S129&gt;0,T129+[1]SADC!T129-[1]SADC!S129-S129,0)</f>
        <v>0</v>
      </c>
      <c r="W129" s="182">
        <f>+IF(U129+[1]SADC!U129-[1]SADC!V129-V129&gt;0,U129+[1]SADC!U129-[1]SADC!V129-V129,0)</f>
        <v>0</v>
      </c>
      <c r="X129" s="182">
        <f>+IF(V129+[1]SADC!V129-[1]SADC!U129-U129&gt;0,V129+[1]SADC!V129-[1]SADC!U129-U129,0)</f>
        <v>0</v>
      </c>
      <c r="Y129" s="182">
        <f>+IF(W129+[1]SADC!W129-[1]SADC!X129-X129&gt;0,W129+[1]SADC!W129-[1]SADC!X129-X129,0)</f>
        <v>0</v>
      </c>
      <c r="Z129" s="182">
        <f>+IF(X129+[1]SADC!X129-[1]SADC!W129-W129&gt;0,X129+[1]SADC!X129-[1]SADC!W129-W129,0)</f>
        <v>0</v>
      </c>
      <c r="AA129" s="182">
        <f>+IF(Y129+[1]SADC!Y129-[1]SADC!Z129-Z129&gt;0,Y129+[1]SADC!Y129-[1]SADC!Z129-Z129,0)</f>
        <v>0</v>
      </c>
      <c r="AB129" s="182">
        <f>+IF(Z129+[1]SADC!Z129-[1]SADC!Y129-Y129&gt;0,Z129+[1]SADC!Z129-[1]SADC!Y129-Y129,0)</f>
        <v>0</v>
      </c>
      <c r="AC129" s="181"/>
      <c r="AD129" s="182">
        <f t="shared" si="1"/>
        <v>0</v>
      </c>
      <c r="AE129" s="182">
        <f t="shared" si="1"/>
        <v>0</v>
      </c>
      <c r="AF129" s="181"/>
    </row>
    <row r="130" spans="1:32">
      <c r="A130" s="181" t="str">
        <f>+VLOOKUP(B130,'[1]coa-mgb'!A$1:B$65536,2,0)</f>
        <v>Training  Expenses</v>
      </c>
      <c r="B130" s="184" t="s">
        <v>156</v>
      </c>
      <c r="C130" s="182">
        <f>+SUMIFS('[1]50202010 00'!$F$1:$F$65536,'[1]50202010 00'!$D$1:$D$65536,"Beginning Balance",'[1]50202010 00'!$D$1:$D$65536,"Beginning Balance")</f>
        <v>0</v>
      </c>
      <c r="D130" s="182">
        <f>+SUMIFS('[1]50202010 00'!$H$1:$H$65536,'[1]50202010 00'!$D$1:$D$65536,"Beginning Balance",'[1]50202010 00'!$D$1:$D$65536,"Beginning Balance")</f>
        <v>0</v>
      </c>
      <c r="E130" s="182">
        <f>+IF(C130+[1]SADC!C130-[1]SADC!D130-D130&gt;0,C130+[1]SADC!C130-[1]SADC!D130-D130,0)</f>
        <v>0</v>
      </c>
      <c r="F130" s="182">
        <f>+IF(D130+[1]SADC!D130-[1]SADC!C130-C130&gt;0,D130+[1]SADC!D130-[1]SADC!C130-C130,0)</f>
        <v>0</v>
      </c>
      <c r="G130" s="182">
        <f>+IF(E130+[1]SADC!E130-[1]SADC!F130-F130&gt;0,E130+[1]SADC!E130-[1]SADC!F130-F130,0)</f>
        <v>0</v>
      </c>
      <c r="H130" s="182">
        <f>+IF(F130+[1]SADC!F130-[1]SADC!E130-E130&gt;0,F130+[1]SADC!F130-[1]SADC!E130-E130,0)</f>
        <v>0</v>
      </c>
      <c r="I130" s="182">
        <f>+IF(G130+[1]SADC!G130-[1]SADC!H130-H130&gt;0,G130+[1]SADC!G130-[1]SADC!H130-H130,0)</f>
        <v>2400</v>
      </c>
      <c r="J130" s="182">
        <f>+IF(H130+[1]SADC!H130-[1]SADC!G130-G130&gt;0,H130+[1]SADC!H130-[1]SADC!G130-G130,0)</f>
        <v>0</v>
      </c>
      <c r="K130" s="182">
        <f>+IF(I130+[1]SADC!I130-[1]SADC!J130-J130&gt;0,I130+[1]SADC!I130-[1]SADC!J130-J130,0)</f>
        <v>2400</v>
      </c>
      <c r="L130" s="182">
        <f>+IF(J130+[1]SADC!J130-[1]SADC!I130-I130&gt;0,J130+[1]SADC!J130-[1]SADC!I130-I130,0)</f>
        <v>0</v>
      </c>
      <c r="M130" s="182">
        <f>+IF(K130+[1]SADC!K130-[1]SADC!L130-L130&gt;0,K130+[1]SADC!K130-[1]SADC!L130-L130,0)</f>
        <v>2400</v>
      </c>
      <c r="N130" s="182">
        <f>+IF(L130+[1]SADC!L130-[1]SADC!K130-K130&gt;0,L130+[1]SADC!L130-[1]SADC!K130-K130,0)</f>
        <v>0</v>
      </c>
      <c r="O130" s="182">
        <f>+IF(M130+[1]SADC!M130-[1]SADC!N130-N130&gt;0,M130+[1]SADC!M130-[1]SADC!N130-N130,0)</f>
        <v>2400</v>
      </c>
      <c r="P130" s="182">
        <f>+IF(N130+[1]SADC!N130-[1]SADC!M130-M130&gt;0,N130+[1]SADC!N130-[1]SADC!M130-M130,0)</f>
        <v>0</v>
      </c>
      <c r="Q130" s="182">
        <f>+IF(O130+[1]SADC!O130-[1]SADC!P130-P130&gt;0,O130+[1]SADC!O130-[1]SADC!P130-P130,0)</f>
        <v>2400</v>
      </c>
      <c r="R130" s="182">
        <f>+IF(P130+[1]SADC!P130-[1]SADC!O130-O130&gt;0,P130+[1]SADC!P130-[1]SADC!O130-O130,0)</f>
        <v>0</v>
      </c>
      <c r="S130" s="182">
        <f>+IF(Q130+[1]SADC!Q130-[1]SADC!R130-R130&gt;0,Q130+[1]SADC!Q130-[1]SADC!R130-R130,0)</f>
        <v>2400</v>
      </c>
      <c r="T130" s="182">
        <f>+IF(R130+[1]SADC!R130-[1]SADC!Q130-Q130&gt;0,R130+[1]SADC!R130-[1]SADC!Q130-Q130,0)</f>
        <v>0</v>
      </c>
      <c r="U130" s="182">
        <f>+IF(S130+[1]SADC!S130-[1]SADC!T130-T130&gt;0,S130+[1]SADC!S130-[1]SADC!T130-T130,0)</f>
        <v>2400</v>
      </c>
      <c r="V130" s="182">
        <f>+IF(T130+[1]SADC!T130-[1]SADC!S130-S130&gt;0,T130+[1]SADC!T130-[1]SADC!S130-S130,0)</f>
        <v>0</v>
      </c>
      <c r="W130" s="182">
        <f>+IF(U130+[1]SADC!U130-[1]SADC!V130-V130&gt;0,U130+[1]SADC!U130-[1]SADC!V130-V130,0)</f>
        <v>2400</v>
      </c>
      <c r="X130" s="182">
        <f>+IF(V130+[1]SADC!V130-[1]SADC!U130-U130&gt;0,V130+[1]SADC!V130-[1]SADC!U130-U130,0)</f>
        <v>0</v>
      </c>
      <c r="Y130" s="182">
        <f>+IF(W130+[1]SADC!W130-[1]SADC!X130-X130&gt;0,W130+[1]SADC!W130-[1]SADC!X130-X130,0)</f>
        <v>2400</v>
      </c>
      <c r="Z130" s="182">
        <f>+IF(X130+[1]SADC!X130-[1]SADC!W130-W130&gt;0,X130+[1]SADC!X130-[1]SADC!W130-W130,0)</f>
        <v>0</v>
      </c>
      <c r="AA130" s="182">
        <f>+IF(Y130+[1]SADC!Y130-[1]SADC!Z130-Z130&gt;0,Y130+[1]SADC!Y130-[1]SADC!Z130-Z130,0)</f>
        <v>2400</v>
      </c>
      <c r="AB130" s="182">
        <f>+IF(Z130+[1]SADC!Z130-[1]SADC!Y130-Y130&gt;0,Z130+[1]SADC!Z130-[1]SADC!Y130-Y130,0)</f>
        <v>0</v>
      </c>
      <c r="AC130" s="181"/>
      <c r="AD130" s="182">
        <f t="shared" si="1"/>
        <v>2400</v>
      </c>
      <c r="AE130" s="182">
        <f t="shared" si="1"/>
        <v>0</v>
      </c>
      <c r="AF130" s="181"/>
    </row>
    <row r="131" spans="1:32">
      <c r="A131" s="181" t="str">
        <f>+VLOOKUP(B131,'[1]coa-mgb'!A$1:B$65536,2,0)</f>
        <v>Scholarship Expenses</v>
      </c>
      <c r="B131" s="184" t="s">
        <v>157</v>
      </c>
      <c r="C131" s="182">
        <f>+SUMIFS('[1]50202020 00'!$F$1:$F$65536,'[1]50202020 00'!$D$1:$D$65536,"Beginning Balance",'[1]50202020 00'!$D$1:$D$65536,"Beginning Balance")</f>
        <v>0</v>
      </c>
      <c r="D131" s="182">
        <f>+SUMIFS('[1]50202020 00'!$H$1:$H$65536,'[1]50202020 00'!$D$1:$D$65536,"Beginning Balance",'[1]50202020 00'!$D$1:$D$65536,"Beginning Balance")</f>
        <v>0</v>
      </c>
      <c r="E131" s="182">
        <f>+IF(C131+[1]SADC!C131-[1]SADC!D131-D131&gt;0,C131+[1]SADC!C131-[1]SADC!D131-D131,0)</f>
        <v>3000</v>
      </c>
      <c r="F131" s="182">
        <f>+IF(D131+[1]SADC!D131-[1]SADC!C131-C131&gt;0,D131+[1]SADC!D131-[1]SADC!C131-C131,0)</f>
        <v>0</v>
      </c>
      <c r="G131" s="182">
        <f>+IF(E131+[1]SADC!E131-[1]SADC!F131-F131&gt;0,E131+[1]SADC!E131-[1]SADC!F131-F131,0)</f>
        <v>6000</v>
      </c>
      <c r="H131" s="182">
        <f>+IF(F131+[1]SADC!F131-[1]SADC!E131-E131&gt;0,F131+[1]SADC!F131-[1]SADC!E131-E131,0)</f>
        <v>0</v>
      </c>
      <c r="I131" s="182">
        <f>+IF(G131+[1]SADC!G131-[1]SADC!H131-H131&gt;0,G131+[1]SADC!G131-[1]SADC!H131-H131,0)</f>
        <v>9800</v>
      </c>
      <c r="J131" s="182">
        <f>+IF(H131+[1]SADC!H131-[1]SADC!G131-G131&gt;0,H131+[1]SADC!H131-[1]SADC!G131-G131,0)</f>
        <v>0</v>
      </c>
      <c r="K131" s="182">
        <f>+IF(I131+[1]SADC!I131-[1]SADC!J131-J131&gt;0,I131+[1]SADC!I131-[1]SADC!J131-J131,0)</f>
        <v>9800</v>
      </c>
      <c r="L131" s="182">
        <f>+IF(J131+[1]SADC!J131-[1]SADC!I131-I131&gt;0,J131+[1]SADC!J131-[1]SADC!I131-I131,0)</f>
        <v>0</v>
      </c>
      <c r="M131" s="182">
        <f>+IF(K131+[1]SADC!K131-[1]SADC!L131-L131&gt;0,K131+[1]SADC!K131-[1]SADC!L131-L131,0)</f>
        <v>9800</v>
      </c>
      <c r="N131" s="182">
        <f>+IF(L131+[1]SADC!L131-[1]SADC!K131-K131&gt;0,L131+[1]SADC!L131-[1]SADC!K131-K131,0)</f>
        <v>0</v>
      </c>
      <c r="O131" s="182">
        <f>+IF(M131+[1]SADC!M131-[1]SADC!N131-N131&gt;0,M131+[1]SADC!M131-[1]SADC!N131-N131,0)</f>
        <v>9800</v>
      </c>
      <c r="P131" s="182">
        <f>+IF(N131+[1]SADC!N131-[1]SADC!M131-M131&gt;0,N131+[1]SADC!N131-[1]SADC!M131-M131,0)</f>
        <v>0</v>
      </c>
      <c r="Q131" s="182">
        <f>+IF(O131+[1]SADC!O131-[1]SADC!P131-P131&gt;0,O131+[1]SADC!O131-[1]SADC!P131-P131,0)</f>
        <v>9800</v>
      </c>
      <c r="R131" s="182">
        <f>+IF(P131+[1]SADC!P131-[1]SADC!O131-O131&gt;0,P131+[1]SADC!P131-[1]SADC!O131-O131,0)</f>
        <v>0</v>
      </c>
      <c r="S131" s="182">
        <f>+IF(Q131+[1]SADC!Q131-[1]SADC!R131-R131&gt;0,Q131+[1]SADC!Q131-[1]SADC!R131-R131,0)</f>
        <v>9800</v>
      </c>
      <c r="T131" s="182">
        <f>+IF(R131+[1]SADC!R131-[1]SADC!Q131-Q131&gt;0,R131+[1]SADC!R131-[1]SADC!Q131-Q131,0)</f>
        <v>0</v>
      </c>
      <c r="U131" s="182">
        <f>+IF(S131+[1]SADC!S131-[1]SADC!T131-T131&gt;0,S131+[1]SADC!S131-[1]SADC!T131-T131,0)</f>
        <v>9800</v>
      </c>
      <c r="V131" s="182">
        <f>+IF(T131+[1]SADC!T131-[1]SADC!S131-S131&gt;0,T131+[1]SADC!T131-[1]SADC!S131-S131,0)</f>
        <v>0</v>
      </c>
      <c r="W131" s="182">
        <f>+IF(U131+[1]SADC!U131-[1]SADC!V131-V131&gt;0,U131+[1]SADC!U131-[1]SADC!V131-V131,0)</f>
        <v>9800</v>
      </c>
      <c r="X131" s="182">
        <f>+IF(V131+[1]SADC!V131-[1]SADC!U131-U131&gt;0,V131+[1]SADC!V131-[1]SADC!U131-U131,0)</f>
        <v>0</v>
      </c>
      <c r="Y131" s="182">
        <f>+IF(W131+[1]SADC!W131-[1]SADC!X131-X131&gt;0,W131+[1]SADC!W131-[1]SADC!X131-X131,0)</f>
        <v>9800</v>
      </c>
      <c r="Z131" s="182">
        <f>+IF(X131+[1]SADC!X131-[1]SADC!W131-W131&gt;0,X131+[1]SADC!X131-[1]SADC!W131-W131,0)</f>
        <v>0</v>
      </c>
      <c r="AA131" s="182">
        <f>+IF(Y131+[1]SADC!Y131-[1]SADC!Z131-Z131&gt;0,Y131+[1]SADC!Y131-[1]SADC!Z131-Z131,0)</f>
        <v>9800</v>
      </c>
      <c r="AB131" s="182">
        <f>+IF(Z131+[1]SADC!Z131-[1]SADC!Y131-Y131&gt;0,Z131+[1]SADC!Z131-[1]SADC!Y131-Y131,0)</f>
        <v>0</v>
      </c>
      <c r="AC131" s="181"/>
      <c r="AD131" s="182">
        <f t="shared" si="1"/>
        <v>9800</v>
      </c>
      <c r="AE131" s="182">
        <f t="shared" si="1"/>
        <v>0</v>
      </c>
      <c r="AF131" s="181"/>
    </row>
    <row r="132" spans="1:32">
      <c r="A132" s="181" t="str">
        <f>+VLOOKUP(B132,'[1]coa-mgb'!A$1:B$65536,2,0)</f>
        <v>Office Supplies Expense</v>
      </c>
      <c r="B132" s="184" t="s">
        <v>158</v>
      </c>
      <c r="C132" s="182">
        <f>+SUMIFS('[1]50203010 00'!$F$1:$F$65536,'[1]50203010 00'!$D$1:$D$65536,"Beginning Balance",'[1]50203010 00'!$D$1:$D$65536,"Beginning Balance")</f>
        <v>0</v>
      </c>
      <c r="D132" s="182">
        <f>+SUMIFS('[1]50203010 00'!$H$1:$H$65536,'[1]50203010 00'!$D$1:$D$65536,"Beginning Balance",'[1]50203010 00'!$D$1:$D$65536,"Beginning Balance")</f>
        <v>0</v>
      </c>
      <c r="E132" s="182">
        <f>+IF(C132+[1]SADC!C132-[1]SADC!D132-D132&gt;0,C132+[1]SADC!C132-[1]SADC!D132-D132,0)</f>
        <v>78528.42</v>
      </c>
      <c r="F132" s="182">
        <f>+IF(D132+[1]SADC!D132-[1]SADC!C132-C132&gt;0,D132+[1]SADC!D132-[1]SADC!C132-C132,0)</f>
        <v>0</v>
      </c>
      <c r="G132" s="182">
        <f>+IF(E132+[1]SADC!E132-[1]SADC!F132-F132&gt;0,E132+[1]SADC!E132-[1]SADC!F132-F132,0)</f>
        <v>126558.43</v>
      </c>
      <c r="H132" s="182">
        <f>+IF(F132+[1]SADC!F132-[1]SADC!E132-E132&gt;0,F132+[1]SADC!F132-[1]SADC!E132-E132,0)</f>
        <v>0</v>
      </c>
      <c r="I132" s="182">
        <f>+IF(G132+[1]SADC!G132-[1]SADC!H132-H132&gt;0,G132+[1]SADC!G132-[1]SADC!H132-H132,0)</f>
        <v>152434.07</v>
      </c>
      <c r="J132" s="182">
        <f>+IF(H132+[1]SADC!H132-[1]SADC!G132-G132&gt;0,H132+[1]SADC!H132-[1]SADC!G132-G132,0)</f>
        <v>0</v>
      </c>
      <c r="K132" s="182">
        <f>+IF(I132+[1]SADC!I132-[1]SADC!J132-J132&gt;0,I132+[1]SADC!I132-[1]SADC!J132-J132,0)</f>
        <v>152434.07</v>
      </c>
      <c r="L132" s="182">
        <f>+IF(J132+[1]SADC!J132-[1]SADC!I132-I132&gt;0,J132+[1]SADC!J132-[1]SADC!I132-I132,0)</f>
        <v>0</v>
      </c>
      <c r="M132" s="182">
        <f>+IF(K132+[1]SADC!K132-[1]SADC!L132-L132&gt;0,K132+[1]SADC!K132-[1]SADC!L132-L132,0)</f>
        <v>152434.07</v>
      </c>
      <c r="N132" s="182">
        <f>+IF(L132+[1]SADC!L132-[1]SADC!K132-K132&gt;0,L132+[1]SADC!L132-[1]SADC!K132-K132,0)</f>
        <v>0</v>
      </c>
      <c r="O132" s="182">
        <f>+IF(M132+[1]SADC!M132-[1]SADC!N132-N132&gt;0,M132+[1]SADC!M132-[1]SADC!N132-N132,0)</f>
        <v>152434.07</v>
      </c>
      <c r="P132" s="182">
        <f>+IF(N132+[1]SADC!N132-[1]SADC!M132-M132&gt;0,N132+[1]SADC!N132-[1]SADC!M132-M132,0)</f>
        <v>0</v>
      </c>
      <c r="Q132" s="182">
        <f>+IF(O132+[1]SADC!O132-[1]SADC!P132-P132&gt;0,O132+[1]SADC!O132-[1]SADC!P132-P132,0)</f>
        <v>152434.07</v>
      </c>
      <c r="R132" s="182">
        <f>+IF(P132+[1]SADC!P132-[1]SADC!O132-O132&gt;0,P132+[1]SADC!P132-[1]SADC!O132-O132,0)</f>
        <v>0</v>
      </c>
      <c r="S132" s="182">
        <f>+IF(Q132+[1]SADC!Q132-[1]SADC!R132-R132&gt;0,Q132+[1]SADC!Q132-[1]SADC!R132-R132,0)</f>
        <v>152434.07</v>
      </c>
      <c r="T132" s="182">
        <f>+IF(R132+[1]SADC!R132-[1]SADC!Q132-Q132&gt;0,R132+[1]SADC!R132-[1]SADC!Q132-Q132,0)</f>
        <v>0</v>
      </c>
      <c r="U132" s="182">
        <f>+IF(S132+[1]SADC!S132-[1]SADC!T132-T132&gt;0,S132+[1]SADC!S132-[1]SADC!T132-T132,0)</f>
        <v>152434.07</v>
      </c>
      <c r="V132" s="182">
        <f>+IF(T132+[1]SADC!T132-[1]SADC!S132-S132&gt;0,T132+[1]SADC!T132-[1]SADC!S132-S132,0)</f>
        <v>0</v>
      </c>
      <c r="W132" s="182">
        <f>+IF(U132+[1]SADC!U132-[1]SADC!V132-V132&gt;0,U132+[1]SADC!U132-[1]SADC!V132-V132,0)</f>
        <v>152434.07</v>
      </c>
      <c r="X132" s="182">
        <f>+IF(V132+[1]SADC!V132-[1]SADC!U132-U132&gt;0,V132+[1]SADC!V132-[1]SADC!U132-U132,0)</f>
        <v>0</v>
      </c>
      <c r="Y132" s="182">
        <f>+IF(W132+[1]SADC!W132-[1]SADC!X132-X132&gt;0,W132+[1]SADC!W132-[1]SADC!X132-X132,0)</f>
        <v>152434.07</v>
      </c>
      <c r="Z132" s="182">
        <f>+IF(X132+[1]SADC!X132-[1]SADC!W132-W132&gt;0,X132+[1]SADC!X132-[1]SADC!W132-W132,0)</f>
        <v>0</v>
      </c>
      <c r="AA132" s="182">
        <f>+IF(Y132+[1]SADC!Y132-[1]SADC!Z132-Z132&gt;0,Y132+[1]SADC!Y132-[1]SADC!Z132-Z132,0)</f>
        <v>152434.07</v>
      </c>
      <c r="AB132" s="182">
        <f>+IF(Z132+[1]SADC!Z132-[1]SADC!Y132-Y132&gt;0,Z132+[1]SADC!Z132-[1]SADC!Y132-Y132,0)</f>
        <v>0</v>
      </c>
      <c r="AC132" s="181"/>
      <c r="AD132" s="182">
        <f t="shared" si="1"/>
        <v>152434.07</v>
      </c>
      <c r="AE132" s="182">
        <f t="shared" si="1"/>
        <v>0</v>
      </c>
      <c r="AF132" s="181"/>
    </row>
    <row r="133" spans="1:32">
      <c r="A133" s="181" t="str">
        <f>+VLOOKUP(B133,'[1]coa-mgb'!A$1:B$65536,2,0)</f>
        <v>Accountable Forms Expense</v>
      </c>
      <c r="B133" s="184" t="s">
        <v>159</v>
      </c>
      <c r="C133" s="182">
        <f>+SUMIFS('[1]50203020 00'!$F$1:$F$65536,'[1]50203020 00'!$D$1:$D$65536,"Beginning Balance",'[1]50203020 00'!$D$1:$D$65536,"Beginning Balance")</f>
        <v>0</v>
      </c>
      <c r="D133" s="182">
        <f>+SUMIFS('[1]50203020 00'!$H$1:$H$65536,'[1]50203020 00'!$D$1:$D$65536,"Beginning Balance",'[1]50203020 00'!$D$1:$D$65536,"Beginning Balance")</f>
        <v>0</v>
      </c>
      <c r="E133" s="182">
        <f>+IF(C133+[1]SADC!C133-[1]SADC!D133-D133&gt;0,C133+[1]SADC!C133-[1]SADC!D133-D133,0)</f>
        <v>12758</v>
      </c>
      <c r="F133" s="182">
        <f>+IF(D133+[1]SADC!D133-[1]SADC!C133-C133&gt;0,D133+[1]SADC!D133-[1]SADC!C133-C133,0)</f>
        <v>0</v>
      </c>
      <c r="G133" s="182">
        <f>+IF(E133+[1]SADC!E133-[1]SADC!F133-F133&gt;0,E133+[1]SADC!E133-[1]SADC!F133-F133,0)</f>
        <v>28336</v>
      </c>
      <c r="H133" s="182">
        <f>+IF(F133+[1]SADC!F133-[1]SADC!E133-E133&gt;0,F133+[1]SADC!F133-[1]SADC!E133-E133,0)</f>
        <v>0</v>
      </c>
      <c r="I133" s="182">
        <f>+IF(G133+[1]SADC!G133-[1]SADC!H133-H133&gt;0,G133+[1]SADC!G133-[1]SADC!H133-H133,0)</f>
        <v>44602</v>
      </c>
      <c r="J133" s="182">
        <f>+IF(H133+[1]SADC!H133-[1]SADC!G133-G133&gt;0,H133+[1]SADC!H133-[1]SADC!G133-G133,0)</f>
        <v>0</v>
      </c>
      <c r="K133" s="182">
        <f>+IF(I133+[1]SADC!I133-[1]SADC!J133-J133&gt;0,I133+[1]SADC!I133-[1]SADC!J133-J133,0)</f>
        <v>44602</v>
      </c>
      <c r="L133" s="182">
        <f>+IF(J133+[1]SADC!J133-[1]SADC!I133-I133&gt;0,J133+[1]SADC!J133-[1]SADC!I133-I133,0)</f>
        <v>0</v>
      </c>
      <c r="M133" s="182">
        <f>+IF(K133+[1]SADC!K133-[1]SADC!L133-L133&gt;0,K133+[1]SADC!K133-[1]SADC!L133-L133,0)</f>
        <v>44602</v>
      </c>
      <c r="N133" s="182">
        <f>+IF(L133+[1]SADC!L133-[1]SADC!K133-K133&gt;0,L133+[1]SADC!L133-[1]SADC!K133-K133,0)</f>
        <v>0</v>
      </c>
      <c r="O133" s="182">
        <f>+IF(M133+[1]SADC!M133-[1]SADC!N133-N133&gt;0,M133+[1]SADC!M133-[1]SADC!N133-N133,0)</f>
        <v>44602</v>
      </c>
      <c r="P133" s="182">
        <f>+IF(N133+[1]SADC!N133-[1]SADC!M133-M133&gt;0,N133+[1]SADC!N133-[1]SADC!M133-M133,0)</f>
        <v>0</v>
      </c>
      <c r="Q133" s="182">
        <f>+IF(O133+[1]SADC!O133-[1]SADC!P133-P133&gt;0,O133+[1]SADC!O133-[1]SADC!P133-P133,0)</f>
        <v>44602</v>
      </c>
      <c r="R133" s="182">
        <f>+IF(P133+[1]SADC!P133-[1]SADC!O133-O133&gt;0,P133+[1]SADC!P133-[1]SADC!O133-O133,0)</f>
        <v>0</v>
      </c>
      <c r="S133" s="182">
        <f>+IF(Q133+[1]SADC!Q133-[1]SADC!R133-R133&gt;0,Q133+[1]SADC!Q133-[1]SADC!R133-R133,0)</f>
        <v>44602</v>
      </c>
      <c r="T133" s="182">
        <f>+IF(R133+[1]SADC!R133-[1]SADC!Q133-Q133&gt;0,R133+[1]SADC!R133-[1]SADC!Q133-Q133,0)</f>
        <v>0</v>
      </c>
      <c r="U133" s="182">
        <f>+IF(S133+[1]SADC!S133-[1]SADC!T133-T133&gt;0,S133+[1]SADC!S133-[1]SADC!T133-T133,0)</f>
        <v>44602</v>
      </c>
      <c r="V133" s="182">
        <f>+IF(T133+[1]SADC!T133-[1]SADC!S133-S133&gt;0,T133+[1]SADC!T133-[1]SADC!S133-S133,0)</f>
        <v>0</v>
      </c>
      <c r="W133" s="182">
        <f>+IF(U133+[1]SADC!U133-[1]SADC!V133-V133&gt;0,U133+[1]SADC!U133-[1]SADC!V133-V133,0)</f>
        <v>44602</v>
      </c>
      <c r="X133" s="182">
        <f>+IF(V133+[1]SADC!V133-[1]SADC!U133-U133&gt;0,V133+[1]SADC!V133-[1]SADC!U133-U133,0)</f>
        <v>0</v>
      </c>
      <c r="Y133" s="182">
        <f>+IF(W133+[1]SADC!W133-[1]SADC!X133-X133&gt;0,W133+[1]SADC!W133-[1]SADC!X133-X133,0)</f>
        <v>44602</v>
      </c>
      <c r="Z133" s="182">
        <f>+IF(X133+[1]SADC!X133-[1]SADC!W133-W133&gt;0,X133+[1]SADC!X133-[1]SADC!W133-W133,0)</f>
        <v>0</v>
      </c>
      <c r="AA133" s="182">
        <f>+IF(Y133+[1]SADC!Y133-[1]SADC!Z133-Z133&gt;0,Y133+[1]SADC!Y133-[1]SADC!Z133-Z133,0)</f>
        <v>44602</v>
      </c>
      <c r="AB133" s="182">
        <f>+IF(Z133+[1]SADC!Z133-[1]SADC!Y133-Y133&gt;0,Z133+[1]SADC!Z133-[1]SADC!Y133-Y133,0)</f>
        <v>0</v>
      </c>
      <c r="AC133" s="181"/>
      <c r="AD133" s="182">
        <f t="shared" si="1"/>
        <v>44602</v>
      </c>
      <c r="AE133" s="182">
        <f t="shared" si="1"/>
        <v>0</v>
      </c>
      <c r="AF133" s="181"/>
    </row>
    <row r="134" spans="1:32">
      <c r="A134" s="181" t="str">
        <f>+VLOOKUP(B134,'[1]coa-mgb'!A$1:B$65536,2,0)</f>
        <v>Medical, Dental &amp; Laboratory Supplies Expense</v>
      </c>
      <c r="B134" s="184" t="s">
        <v>163</v>
      </c>
      <c r="C134" s="182">
        <f>+SUMIFS('[1]50203080 00'!$F$1:$F$65536,'[1]50203080 00'!$D$1:$D$65536,"Beginning Balance",'[1]50203080 00'!$D$1:$D$65536,"Beginning Balance")</f>
        <v>0</v>
      </c>
      <c r="D134" s="182">
        <f>+SUMIFS('[1]50203080 00'!$H$1:$H$65536,'[1]50203080 00'!$D$1:$D$65536,"Beginning Balance",'[1]50203080 00'!$D$1:$D$65536,"Beginning Balance")</f>
        <v>0</v>
      </c>
      <c r="E134" s="182">
        <f>+IF(C134+[1]SADC!C134-[1]SADC!D134-D134&gt;0,C134+[1]SADC!C134-[1]SADC!D134-D134,0)</f>
        <v>0</v>
      </c>
      <c r="F134" s="182">
        <f>+IF(D134+[1]SADC!D134-[1]SADC!C134-C134&gt;0,D134+[1]SADC!D134-[1]SADC!C134-C134,0)</f>
        <v>0</v>
      </c>
      <c r="G134" s="182">
        <f>+IF(E134+[1]SADC!E134-[1]SADC!F134-F134&gt;0,E134+[1]SADC!E134-[1]SADC!F134-F134,0)</f>
        <v>0</v>
      </c>
      <c r="H134" s="182">
        <f>+IF(F134+[1]SADC!F134-[1]SADC!E134-E134&gt;0,F134+[1]SADC!F134-[1]SADC!E134-E134,0)</f>
        <v>0</v>
      </c>
      <c r="I134" s="182">
        <f>+IF(G134+[1]SADC!G134-[1]SADC!H134-H134&gt;0,G134+[1]SADC!G134-[1]SADC!H134-H134,0)</f>
        <v>0</v>
      </c>
      <c r="J134" s="182">
        <f>+IF(H134+[1]SADC!H134-[1]SADC!G134-G134&gt;0,H134+[1]SADC!H134-[1]SADC!G134-G134,0)</f>
        <v>0</v>
      </c>
      <c r="K134" s="182">
        <f>+IF(I134+[1]SADC!I134-[1]SADC!J134-J134&gt;0,I134+[1]SADC!I134-[1]SADC!J134-J134,0)</f>
        <v>0</v>
      </c>
      <c r="L134" s="182">
        <f>+IF(J134+[1]SADC!J134-[1]SADC!I134-I134&gt;0,J134+[1]SADC!J134-[1]SADC!I134-I134,0)</f>
        <v>0</v>
      </c>
      <c r="M134" s="182">
        <f>+IF(K134+[1]SADC!K134-[1]SADC!L134-L134&gt;0,K134+[1]SADC!K134-[1]SADC!L134-L134,0)</f>
        <v>0</v>
      </c>
      <c r="N134" s="182">
        <f>+IF(L134+[1]SADC!L134-[1]SADC!K134-K134&gt;0,L134+[1]SADC!L134-[1]SADC!K134-K134,0)</f>
        <v>0</v>
      </c>
      <c r="O134" s="182">
        <f>+IF(M134+[1]SADC!M134-[1]SADC!N134-N134&gt;0,M134+[1]SADC!M134-[1]SADC!N134-N134,0)</f>
        <v>0</v>
      </c>
      <c r="P134" s="182">
        <f>+IF(N134+[1]SADC!N134-[1]SADC!M134-M134&gt;0,N134+[1]SADC!N134-[1]SADC!M134-M134,0)</f>
        <v>0</v>
      </c>
      <c r="Q134" s="182">
        <f>+IF(O134+[1]SADC!O134-[1]SADC!P134-P134&gt;0,O134+[1]SADC!O134-[1]SADC!P134-P134,0)</f>
        <v>0</v>
      </c>
      <c r="R134" s="182">
        <f>+IF(P134+[1]SADC!P134-[1]SADC!O134-O134&gt;0,P134+[1]SADC!P134-[1]SADC!O134-O134,0)</f>
        <v>0</v>
      </c>
      <c r="S134" s="182">
        <f>+IF(Q134+[1]SADC!Q134-[1]SADC!R134-R134&gt;0,Q134+[1]SADC!Q134-[1]SADC!R134-R134,0)</f>
        <v>0</v>
      </c>
      <c r="T134" s="182">
        <f>+IF(R134+[1]SADC!R134-[1]SADC!Q134-Q134&gt;0,R134+[1]SADC!R134-[1]SADC!Q134-Q134,0)</f>
        <v>0</v>
      </c>
      <c r="U134" s="182">
        <f>+IF(S134+[1]SADC!S134-[1]SADC!T134-T134&gt;0,S134+[1]SADC!S134-[1]SADC!T134-T134,0)</f>
        <v>0</v>
      </c>
      <c r="V134" s="182">
        <f>+IF(T134+[1]SADC!T134-[1]SADC!S134-S134&gt;0,T134+[1]SADC!T134-[1]SADC!S134-S134,0)</f>
        <v>0</v>
      </c>
      <c r="W134" s="182">
        <f>+IF(U134+[1]SADC!U134-[1]SADC!V134-V134&gt;0,U134+[1]SADC!U134-[1]SADC!V134-V134,0)</f>
        <v>0</v>
      </c>
      <c r="X134" s="182">
        <f>+IF(V134+[1]SADC!V134-[1]SADC!U134-U134&gt;0,V134+[1]SADC!V134-[1]SADC!U134-U134,0)</f>
        <v>0</v>
      </c>
      <c r="Y134" s="182">
        <f>+IF(W134+[1]SADC!W134-[1]SADC!X134-X134&gt;0,W134+[1]SADC!W134-[1]SADC!X134-X134,0)</f>
        <v>0</v>
      </c>
      <c r="Z134" s="182">
        <f>+IF(X134+[1]SADC!X134-[1]SADC!W134-W134&gt;0,X134+[1]SADC!X134-[1]SADC!W134-W134,0)</f>
        <v>0</v>
      </c>
      <c r="AA134" s="182">
        <f>+IF(Y134+[1]SADC!Y134-[1]SADC!Z134-Z134&gt;0,Y134+[1]SADC!Y134-[1]SADC!Z134-Z134,0)</f>
        <v>0</v>
      </c>
      <c r="AB134" s="182">
        <f>+IF(Z134+[1]SADC!Z134-[1]SADC!Y134-Y134&gt;0,Z134+[1]SADC!Z134-[1]SADC!Y134-Y134,0)</f>
        <v>0</v>
      </c>
      <c r="AC134" s="181"/>
      <c r="AD134" s="182">
        <f t="shared" si="1"/>
        <v>0</v>
      </c>
      <c r="AE134" s="182">
        <f t="shared" si="1"/>
        <v>0</v>
      </c>
      <c r="AF134" s="181"/>
    </row>
    <row r="135" spans="1:32">
      <c r="A135" s="181" t="str">
        <f>+VLOOKUP(B135,'[1]coa-mgb'!A$1:B$65536,2,0)</f>
        <v>Fuel, Oil and Lubricants Expenses</v>
      </c>
      <c r="B135" s="184" t="s">
        <v>164</v>
      </c>
      <c r="C135" s="182">
        <f>+SUMIFS('[1]50203090 00'!$F$1:$F$65536,'[1]50203090 00'!$D$1:$D$65536,"Beginning Balance",'[1]50203090 00'!$D$1:$D$65536,"Beginning Balance")</f>
        <v>0</v>
      </c>
      <c r="D135" s="182">
        <f>+SUMIFS('[1]50203090 00'!$H$1:$H$65536,'[1]50203090 00'!$D$1:$D$65536,"Beginning Balance",'[1]50203090 00'!$D$1:$D$65536,"Beginning Balance")</f>
        <v>0</v>
      </c>
      <c r="E135" s="182">
        <f>+IF(C135+[1]SADC!C135-[1]SADC!D135-D135&gt;0,C135+[1]SADC!C135-[1]SADC!D135-D135,0)</f>
        <v>0</v>
      </c>
      <c r="F135" s="182">
        <f>+IF(D135+[1]SADC!D135-[1]SADC!C135-C135&gt;0,D135+[1]SADC!D135-[1]SADC!C135-C135,0)</f>
        <v>0</v>
      </c>
      <c r="G135" s="182">
        <f>+IF(E135+[1]SADC!E135-[1]SADC!F135-F135&gt;0,E135+[1]SADC!E135-[1]SADC!F135-F135,0)</f>
        <v>22010.86</v>
      </c>
      <c r="H135" s="182">
        <f>+IF(F135+[1]SADC!F135-[1]SADC!E135-E135&gt;0,F135+[1]SADC!F135-[1]SADC!E135-E135,0)</f>
        <v>0</v>
      </c>
      <c r="I135" s="182">
        <f>+IF(G135+[1]SADC!G135-[1]SADC!H135-H135&gt;0,G135+[1]SADC!G135-[1]SADC!H135-H135,0)</f>
        <v>2010.8600000000006</v>
      </c>
      <c r="J135" s="182">
        <f>+IF(H135+[1]SADC!H135-[1]SADC!G135-G135&gt;0,H135+[1]SADC!H135-[1]SADC!G135-G135,0)</f>
        <v>0</v>
      </c>
      <c r="K135" s="182">
        <f>+IF(I135+[1]SADC!I135-[1]SADC!J135-J135&gt;0,I135+[1]SADC!I135-[1]SADC!J135-J135,0)</f>
        <v>2010.8600000000006</v>
      </c>
      <c r="L135" s="182">
        <f>+IF(J135+[1]SADC!J135-[1]SADC!I135-I135&gt;0,J135+[1]SADC!J135-[1]SADC!I135-I135,0)</f>
        <v>0</v>
      </c>
      <c r="M135" s="182">
        <f>+IF(K135+[1]SADC!K135-[1]SADC!L135-L135&gt;0,K135+[1]SADC!K135-[1]SADC!L135-L135,0)</f>
        <v>2010.8600000000006</v>
      </c>
      <c r="N135" s="182">
        <f>+IF(L135+[1]SADC!L135-[1]SADC!K135-K135&gt;0,L135+[1]SADC!L135-[1]SADC!K135-K135,0)</f>
        <v>0</v>
      </c>
      <c r="O135" s="182">
        <f>+IF(M135+[1]SADC!M135-[1]SADC!N135-N135&gt;0,M135+[1]SADC!M135-[1]SADC!N135-N135,0)</f>
        <v>2010.8600000000006</v>
      </c>
      <c r="P135" s="182">
        <f>+IF(N135+[1]SADC!N135-[1]SADC!M135-M135&gt;0,N135+[1]SADC!N135-[1]SADC!M135-M135,0)</f>
        <v>0</v>
      </c>
      <c r="Q135" s="182">
        <f>+IF(O135+[1]SADC!O135-[1]SADC!P135-P135&gt;0,O135+[1]SADC!O135-[1]SADC!P135-P135,0)</f>
        <v>2010.8600000000006</v>
      </c>
      <c r="R135" s="182">
        <f>+IF(P135+[1]SADC!P135-[1]SADC!O135-O135&gt;0,P135+[1]SADC!P135-[1]SADC!O135-O135,0)</f>
        <v>0</v>
      </c>
      <c r="S135" s="182">
        <f>+IF(Q135+[1]SADC!Q135-[1]SADC!R135-R135&gt;0,Q135+[1]SADC!Q135-[1]SADC!R135-R135,0)</f>
        <v>2010.8600000000006</v>
      </c>
      <c r="T135" s="182">
        <f>+IF(R135+[1]SADC!R135-[1]SADC!Q135-Q135&gt;0,R135+[1]SADC!R135-[1]SADC!Q135-Q135,0)</f>
        <v>0</v>
      </c>
      <c r="U135" s="182">
        <f>+IF(S135+[1]SADC!S135-[1]SADC!T135-T135&gt;0,S135+[1]SADC!S135-[1]SADC!T135-T135,0)</f>
        <v>2010.8600000000006</v>
      </c>
      <c r="V135" s="182">
        <f>+IF(T135+[1]SADC!T135-[1]SADC!S135-S135&gt;0,T135+[1]SADC!T135-[1]SADC!S135-S135,0)</f>
        <v>0</v>
      </c>
      <c r="W135" s="182">
        <f>+IF(U135+[1]SADC!U135-[1]SADC!V135-V135&gt;0,U135+[1]SADC!U135-[1]SADC!V135-V135,0)</f>
        <v>2010.8600000000006</v>
      </c>
      <c r="X135" s="182">
        <f>+IF(V135+[1]SADC!V135-[1]SADC!U135-U135&gt;0,V135+[1]SADC!V135-[1]SADC!U135-U135,0)</f>
        <v>0</v>
      </c>
      <c r="Y135" s="182">
        <f>+IF(W135+[1]SADC!W135-[1]SADC!X135-X135&gt;0,W135+[1]SADC!W135-[1]SADC!X135-X135,0)</f>
        <v>2010.8600000000006</v>
      </c>
      <c r="Z135" s="182">
        <f>+IF(X135+[1]SADC!X135-[1]SADC!W135-W135&gt;0,X135+[1]SADC!X135-[1]SADC!W135-W135,0)</f>
        <v>0</v>
      </c>
      <c r="AA135" s="182">
        <f>+IF(Y135+[1]SADC!Y135-[1]SADC!Z135-Z135&gt;0,Y135+[1]SADC!Y135-[1]SADC!Z135-Z135,0)</f>
        <v>2010.8600000000006</v>
      </c>
      <c r="AB135" s="182">
        <f>+IF(Z135+[1]SADC!Z135-[1]SADC!Y135-Y135&gt;0,Z135+[1]SADC!Z135-[1]SADC!Y135-Y135,0)</f>
        <v>0</v>
      </c>
      <c r="AC135" s="181"/>
      <c r="AD135" s="182">
        <f t="shared" si="1"/>
        <v>2010.8600000000006</v>
      </c>
      <c r="AE135" s="182">
        <f t="shared" si="1"/>
        <v>0</v>
      </c>
      <c r="AF135" s="181"/>
    </row>
    <row r="136" spans="1:32">
      <c r="A136" s="181" t="str">
        <f>+VLOOKUP(B136,'[1]coa-mgb'!A$1:B$65536,2,0)</f>
        <v>Other Supplies &amp; Materials Expense</v>
      </c>
      <c r="B136" s="184" t="s">
        <v>166</v>
      </c>
      <c r="C136" s="182">
        <f>+SUMIFS('[1]50203990 00'!$F$1:$F$65536,'[1]50203990 00'!$D$1:$D$65536,"Beginning Balance",'[1]50203990 00'!$D$1:$D$65536,"Beginning Balance")</f>
        <v>0</v>
      </c>
      <c r="D136" s="182">
        <f>+SUMIFS('[1]50203990 00'!$H$1:$H$65536,'[1]50203990 00'!$D$1:$D$65536,"Beginning Balance",'[1]50203990 00'!$D$1:$D$65536,"Beginning Balance")</f>
        <v>0</v>
      </c>
      <c r="E136" s="182">
        <f>+IF(C136+[1]SADC!C136-[1]SADC!D136-D136&gt;0,C136+[1]SADC!C136-[1]SADC!D136-D136,0)</f>
        <v>0</v>
      </c>
      <c r="F136" s="182">
        <f>+IF(D136+[1]SADC!D136-[1]SADC!C136-C136&gt;0,D136+[1]SADC!D136-[1]SADC!C136-C136,0)</f>
        <v>0</v>
      </c>
      <c r="G136" s="182">
        <f>+IF(E136+[1]SADC!E136-[1]SADC!F136-F136&gt;0,E136+[1]SADC!E136-[1]SADC!F136-F136,0)</f>
        <v>2938</v>
      </c>
      <c r="H136" s="182">
        <f>+IF(F136+[1]SADC!F136-[1]SADC!E136-E136&gt;0,F136+[1]SADC!F136-[1]SADC!E136-E136,0)</f>
        <v>0</v>
      </c>
      <c r="I136" s="182">
        <f>+IF(G136+[1]SADC!G136-[1]SADC!H136-H136&gt;0,G136+[1]SADC!G136-[1]SADC!H136-H136,0)</f>
        <v>2336.75</v>
      </c>
      <c r="J136" s="182">
        <f>+IF(H136+[1]SADC!H136-[1]SADC!G136-G136&gt;0,H136+[1]SADC!H136-[1]SADC!G136-G136,0)</f>
        <v>0</v>
      </c>
      <c r="K136" s="182">
        <f>+IF(I136+[1]SADC!I136-[1]SADC!J136-J136&gt;0,I136+[1]SADC!I136-[1]SADC!J136-J136,0)</f>
        <v>2336.75</v>
      </c>
      <c r="L136" s="182">
        <f>+IF(J136+[1]SADC!J136-[1]SADC!I136-I136&gt;0,J136+[1]SADC!J136-[1]SADC!I136-I136,0)</f>
        <v>0</v>
      </c>
      <c r="M136" s="182">
        <f>+IF(K136+[1]SADC!K136-[1]SADC!L136-L136&gt;0,K136+[1]SADC!K136-[1]SADC!L136-L136,0)</f>
        <v>2336.75</v>
      </c>
      <c r="N136" s="182">
        <f>+IF(L136+[1]SADC!L136-[1]SADC!K136-K136&gt;0,L136+[1]SADC!L136-[1]SADC!K136-K136,0)</f>
        <v>0</v>
      </c>
      <c r="O136" s="182">
        <f>+IF(M136+[1]SADC!M136-[1]SADC!N136-N136&gt;0,M136+[1]SADC!M136-[1]SADC!N136-N136,0)</f>
        <v>2336.75</v>
      </c>
      <c r="P136" s="182">
        <f>+IF(N136+[1]SADC!N136-[1]SADC!M136-M136&gt;0,N136+[1]SADC!N136-[1]SADC!M136-M136,0)</f>
        <v>0</v>
      </c>
      <c r="Q136" s="182">
        <f>+IF(O136+[1]SADC!O136-[1]SADC!P136-P136&gt;0,O136+[1]SADC!O136-[1]SADC!P136-P136,0)</f>
        <v>2336.75</v>
      </c>
      <c r="R136" s="182">
        <f>+IF(P136+[1]SADC!P136-[1]SADC!O136-O136&gt;0,P136+[1]SADC!P136-[1]SADC!O136-O136,0)</f>
        <v>0</v>
      </c>
      <c r="S136" s="182">
        <f>+IF(Q136+[1]SADC!Q136-[1]SADC!R136-R136&gt;0,Q136+[1]SADC!Q136-[1]SADC!R136-R136,0)</f>
        <v>2336.75</v>
      </c>
      <c r="T136" s="182">
        <f>+IF(R136+[1]SADC!R136-[1]SADC!Q136-Q136&gt;0,R136+[1]SADC!R136-[1]SADC!Q136-Q136,0)</f>
        <v>0</v>
      </c>
      <c r="U136" s="182">
        <f>+IF(S136+[1]SADC!S136-[1]SADC!T136-T136&gt;0,S136+[1]SADC!S136-[1]SADC!T136-T136,0)</f>
        <v>2336.75</v>
      </c>
      <c r="V136" s="182">
        <f>+IF(T136+[1]SADC!T136-[1]SADC!S136-S136&gt;0,T136+[1]SADC!T136-[1]SADC!S136-S136,0)</f>
        <v>0</v>
      </c>
      <c r="W136" s="182">
        <f>+IF(U136+[1]SADC!U136-[1]SADC!V136-V136&gt;0,U136+[1]SADC!U136-[1]SADC!V136-V136,0)</f>
        <v>2336.75</v>
      </c>
      <c r="X136" s="182">
        <f>+IF(V136+[1]SADC!V136-[1]SADC!U136-U136&gt;0,V136+[1]SADC!V136-[1]SADC!U136-U136,0)</f>
        <v>0</v>
      </c>
      <c r="Y136" s="182">
        <f>+IF(W136+[1]SADC!W136-[1]SADC!X136-X136&gt;0,W136+[1]SADC!W136-[1]SADC!X136-X136,0)</f>
        <v>2336.75</v>
      </c>
      <c r="Z136" s="182">
        <f>+IF(X136+[1]SADC!X136-[1]SADC!W136-W136&gt;0,X136+[1]SADC!X136-[1]SADC!W136-W136,0)</f>
        <v>0</v>
      </c>
      <c r="AA136" s="182">
        <f>+IF(Y136+[1]SADC!Y136-[1]SADC!Z136-Z136&gt;0,Y136+[1]SADC!Y136-[1]SADC!Z136-Z136,0)</f>
        <v>2336.75</v>
      </c>
      <c r="AB136" s="182">
        <f>+IF(Z136+[1]SADC!Z136-[1]SADC!Y136-Y136&gt;0,Z136+[1]SADC!Z136-[1]SADC!Y136-Y136,0)</f>
        <v>0</v>
      </c>
      <c r="AC136" s="181"/>
      <c r="AD136" s="182">
        <f t="shared" si="1"/>
        <v>2336.75</v>
      </c>
      <c r="AE136" s="182">
        <f t="shared" si="1"/>
        <v>0</v>
      </c>
      <c r="AF136" s="181"/>
    </row>
    <row r="137" spans="1:32">
      <c r="A137" s="181" t="str">
        <f>+VLOOKUP(B137,'[1]coa-mgb'!A$1:B$65536,2,0)</f>
        <v>Water Expenses</v>
      </c>
      <c r="B137" s="184" t="s">
        <v>167</v>
      </c>
      <c r="C137" s="182">
        <f>+SUMIFS('[1]50204010 00'!$F$1:$F$65536,'[1]50204010 00'!$D$1:$D$65536,"Beginning Balance",'[1]50204010 00'!$D$1:$D$65536,"Beginning Balance")</f>
        <v>0</v>
      </c>
      <c r="D137" s="182">
        <f>+SUMIFS('[1]50204010 00'!$H$1:$H$65536,'[1]50204010 00'!$D$1:$D$65536,"Beginning Balance",'[1]50204010 00'!$D$1:$D$65536,"Beginning Balance")</f>
        <v>0</v>
      </c>
      <c r="E137" s="182">
        <f>+IF(C137+[1]SADC!C137-[1]SADC!D137-D137&gt;0,C137+[1]SADC!C137-[1]SADC!D137-D137,0)</f>
        <v>720</v>
      </c>
      <c r="F137" s="182">
        <f>+IF(D137+[1]SADC!D137-[1]SADC!C137-C137&gt;0,D137+[1]SADC!D137-[1]SADC!C137-C137,0)</f>
        <v>0</v>
      </c>
      <c r="G137" s="182">
        <f>+IF(E137+[1]SADC!E137-[1]SADC!F137-F137&gt;0,E137+[1]SADC!E137-[1]SADC!F137-F137,0)</f>
        <v>14420.03</v>
      </c>
      <c r="H137" s="182">
        <f>+IF(F137+[1]SADC!F137-[1]SADC!E137-E137&gt;0,F137+[1]SADC!F137-[1]SADC!E137-E137,0)</f>
        <v>0</v>
      </c>
      <c r="I137" s="182">
        <f>+IF(G137+[1]SADC!G137-[1]SADC!H137-H137&gt;0,G137+[1]SADC!G137-[1]SADC!H137-H137,0)</f>
        <v>28887.239999999998</v>
      </c>
      <c r="J137" s="182">
        <f>+IF(H137+[1]SADC!H137-[1]SADC!G137-G137&gt;0,H137+[1]SADC!H137-[1]SADC!G137-G137,0)</f>
        <v>0</v>
      </c>
      <c r="K137" s="182">
        <f>+IF(I137+[1]SADC!I137-[1]SADC!J137-J137&gt;0,I137+[1]SADC!I137-[1]SADC!J137-J137,0)</f>
        <v>28887.239999999998</v>
      </c>
      <c r="L137" s="182">
        <f>+IF(J137+[1]SADC!J137-[1]SADC!I137-I137&gt;0,J137+[1]SADC!J137-[1]SADC!I137-I137,0)</f>
        <v>0</v>
      </c>
      <c r="M137" s="182">
        <f>+IF(K137+[1]SADC!K137-[1]SADC!L137-L137&gt;0,K137+[1]SADC!K137-[1]SADC!L137-L137,0)</f>
        <v>28887.239999999998</v>
      </c>
      <c r="N137" s="182">
        <f>+IF(L137+[1]SADC!L137-[1]SADC!K137-K137&gt;0,L137+[1]SADC!L137-[1]SADC!K137-K137,0)</f>
        <v>0</v>
      </c>
      <c r="O137" s="182">
        <f>+IF(M137+[1]SADC!M137-[1]SADC!N137-N137&gt;0,M137+[1]SADC!M137-[1]SADC!N137-N137,0)</f>
        <v>28887.239999999998</v>
      </c>
      <c r="P137" s="182">
        <f>+IF(N137+[1]SADC!N137-[1]SADC!M137-M137&gt;0,N137+[1]SADC!N137-[1]SADC!M137-M137,0)</f>
        <v>0</v>
      </c>
      <c r="Q137" s="182">
        <f>+IF(O137+[1]SADC!O137-[1]SADC!P137-P137&gt;0,O137+[1]SADC!O137-[1]SADC!P137-P137,0)</f>
        <v>28887.239999999998</v>
      </c>
      <c r="R137" s="182">
        <f>+IF(P137+[1]SADC!P137-[1]SADC!O137-O137&gt;0,P137+[1]SADC!P137-[1]SADC!O137-O137,0)</f>
        <v>0</v>
      </c>
      <c r="S137" s="182">
        <f>+IF(Q137+[1]SADC!Q137-[1]SADC!R137-R137&gt;0,Q137+[1]SADC!Q137-[1]SADC!R137-R137,0)</f>
        <v>28887.239999999998</v>
      </c>
      <c r="T137" s="182">
        <f>+IF(R137+[1]SADC!R137-[1]SADC!Q137-Q137&gt;0,R137+[1]SADC!R137-[1]SADC!Q137-Q137,0)</f>
        <v>0</v>
      </c>
      <c r="U137" s="182">
        <f>+IF(S137+[1]SADC!S137-[1]SADC!T137-T137&gt;0,S137+[1]SADC!S137-[1]SADC!T137-T137,0)</f>
        <v>28887.239999999998</v>
      </c>
      <c r="V137" s="182">
        <f>+IF(T137+[1]SADC!T137-[1]SADC!S137-S137&gt;0,T137+[1]SADC!T137-[1]SADC!S137-S137,0)</f>
        <v>0</v>
      </c>
      <c r="W137" s="182">
        <f>+IF(U137+[1]SADC!U137-[1]SADC!V137-V137&gt;0,U137+[1]SADC!U137-[1]SADC!V137-V137,0)</f>
        <v>28887.239999999998</v>
      </c>
      <c r="X137" s="182">
        <f>+IF(V137+[1]SADC!V137-[1]SADC!U137-U137&gt;0,V137+[1]SADC!V137-[1]SADC!U137-U137,0)</f>
        <v>0</v>
      </c>
      <c r="Y137" s="182">
        <f>+IF(W137+[1]SADC!W137-[1]SADC!X137-X137&gt;0,W137+[1]SADC!W137-[1]SADC!X137-X137,0)</f>
        <v>28887.239999999998</v>
      </c>
      <c r="Z137" s="182">
        <f>+IF(X137+[1]SADC!X137-[1]SADC!W137-W137&gt;0,X137+[1]SADC!X137-[1]SADC!W137-W137,0)</f>
        <v>0</v>
      </c>
      <c r="AA137" s="182">
        <f>+IF(Y137+[1]SADC!Y137-[1]SADC!Z137-Z137&gt;0,Y137+[1]SADC!Y137-[1]SADC!Z137-Z137,0)</f>
        <v>28887.239999999998</v>
      </c>
      <c r="AB137" s="182">
        <f>+IF(Z137+[1]SADC!Z137-[1]SADC!Y137-Y137&gt;0,Z137+[1]SADC!Z137-[1]SADC!Y137-Y137,0)</f>
        <v>0</v>
      </c>
      <c r="AC137" s="181"/>
      <c r="AD137" s="182">
        <f t="shared" si="1"/>
        <v>28887.239999999998</v>
      </c>
      <c r="AE137" s="182">
        <f t="shared" si="1"/>
        <v>0</v>
      </c>
      <c r="AF137" s="181"/>
    </row>
    <row r="138" spans="1:32">
      <c r="A138" s="181" t="str">
        <f>+VLOOKUP(B138,'[1]coa-mgb'!A$1:B$65536,2,0)</f>
        <v>Electricity Expenses</v>
      </c>
      <c r="B138" s="184" t="s">
        <v>168</v>
      </c>
      <c r="C138" s="182">
        <f>+SUMIFS('[1]50204020 00'!$F$1:$F$65536,'[1]50204020 00'!$D$1:$D$65536,"Beginning Balance",'[1]50204020 00'!$D$1:$D$65536,"Beginning Balance")</f>
        <v>0</v>
      </c>
      <c r="D138" s="182">
        <f>+SUMIFS('[1]50204020 00'!$H$1:$H$65536,'[1]50204020 00'!$D$1:$D$65536,"Beginning Balance",'[1]50204020 00'!$D$1:$D$65536,"Beginning Balance")</f>
        <v>0</v>
      </c>
      <c r="E138" s="182">
        <f>+IF(C138+[1]SADC!C138-[1]SADC!D138-D138&gt;0,C138+[1]SADC!C138-[1]SADC!D138-D138,0)</f>
        <v>249415.44</v>
      </c>
      <c r="F138" s="182">
        <f>+IF(D138+[1]SADC!D138-[1]SADC!C138-C138&gt;0,D138+[1]SADC!D138-[1]SADC!C138-C138,0)</f>
        <v>0</v>
      </c>
      <c r="G138" s="182">
        <f>+IF(E138+[1]SADC!E138-[1]SADC!F138-F138&gt;0,E138+[1]SADC!E138-[1]SADC!F138-F138,0)</f>
        <v>397646.29</v>
      </c>
      <c r="H138" s="182">
        <f>+IF(F138+[1]SADC!F138-[1]SADC!E138-E138&gt;0,F138+[1]SADC!F138-[1]SADC!E138-E138,0)</f>
        <v>0</v>
      </c>
      <c r="I138" s="182">
        <f>+IF(G138+[1]SADC!G138-[1]SADC!H138-H138&gt;0,G138+[1]SADC!G138-[1]SADC!H138-H138,0)</f>
        <v>569508.59</v>
      </c>
      <c r="J138" s="182">
        <f>+IF(H138+[1]SADC!H138-[1]SADC!G138-G138&gt;0,H138+[1]SADC!H138-[1]SADC!G138-G138,0)</f>
        <v>0</v>
      </c>
      <c r="K138" s="182">
        <f>+IF(I138+[1]SADC!I138-[1]SADC!J138-J138&gt;0,I138+[1]SADC!I138-[1]SADC!J138-J138,0)</f>
        <v>569508.59</v>
      </c>
      <c r="L138" s="182">
        <f>+IF(J138+[1]SADC!J138-[1]SADC!I138-I138&gt;0,J138+[1]SADC!J138-[1]SADC!I138-I138,0)</f>
        <v>0</v>
      </c>
      <c r="M138" s="182">
        <f>+IF(K138+[1]SADC!K138-[1]SADC!L138-L138&gt;0,K138+[1]SADC!K138-[1]SADC!L138-L138,0)</f>
        <v>569508.59</v>
      </c>
      <c r="N138" s="182">
        <f>+IF(L138+[1]SADC!L138-[1]SADC!K138-K138&gt;0,L138+[1]SADC!L138-[1]SADC!K138-K138,0)</f>
        <v>0</v>
      </c>
      <c r="O138" s="182">
        <f>+IF(M138+[1]SADC!M138-[1]SADC!N138-N138&gt;0,M138+[1]SADC!M138-[1]SADC!N138-N138,0)</f>
        <v>569508.59</v>
      </c>
      <c r="P138" s="182">
        <f>+IF(N138+[1]SADC!N138-[1]SADC!M138-M138&gt;0,N138+[1]SADC!N138-[1]SADC!M138-M138,0)</f>
        <v>0</v>
      </c>
      <c r="Q138" s="182">
        <f>+IF(O138+[1]SADC!O138-[1]SADC!P138-P138&gt;0,O138+[1]SADC!O138-[1]SADC!P138-P138,0)</f>
        <v>569508.59</v>
      </c>
      <c r="R138" s="182">
        <f>+IF(P138+[1]SADC!P138-[1]SADC!O138-O138&gt;0,P138+[1]SADC!P138-[1]SADC!O138-O138,0)</f>
        <v>0</v>
      </c>
      <c r="S138" s="182">
        <f>+IF(Q138+[1]SADC!Q138-[1]SADC!R138-R138&gt;0,Q138+[1]SADC!Q138-[1]SADC!R138-R138,0)</f>
        <v>569508.59</v>
      </c>
      <c r="T138" s="182">
        <f>+IF(R138+[1]SADC!R138-[1]SADC!Q138-Q138&gt;0,R138+[1]SADC!R138-[1]SADC!Q138-Q138,0)</f>
        <v>0</v>
      </c>
      <c r="U138" s="182">
        <f>+IF(S138+[1]SADC!S138-[1]SADC!T138-T138&gt;0,S138+[1]SADC!S138-[1]SADC!T138-T138,0)</f>
        <v>569508.59</v>
      </c>
      <c r="V138" s="182">
        <f>+IF(T138+[1]SADC!T138-[1]SADC!S138-S138&gt;0,T138+[1]SADC!T138-[1]SADC!S138-S138,0)</f>
        <v>0</v>
      </c>
      <c r="W138" s="182">
        <f>+IF(U138+[1]SADC!U138-[1]SADC!V138-V138&gt;0,U138+[1]SADC!U138-[1]SADC!V138-V138,0)</f>
        <v>569508.59</v>
      </c>
      <c r="X138" s="182">
        <f>+IF(V138+[1]SADC!V138-[1]SADC!U138-U138&gt;0,V138+[1]SADC!V138-[1]SADC!U138-U138,0)</f>
        <v>0</v>
      </c>
      <c r="Y138" s="182">
        <f>+IF(W138+[1]SADC!W138-[1]SADC!X138-X138&gt;0,W138+[1]SADC!W138-[1]SADC!X138-X138,0)</f>
        <v>569508.59</v>
      </c>
      <c r="Z138" s="182">
        <f>+IF(X138+[1]SADC!X138-[1]SADC!W138-W138&gt;0,X138+[1]SADC!X138-[1]SADC!W138-W138,0)</f>
        <v>0</v>
      </c>
      <c r="AA138" s="182">
        <f>+IF(Y138+[1]SADC!Y138-[1]SADC!Z138-Z138&gt;0,Y138+[1]SADC!Y138-[1]SADC!Z138-Z138,0)</f>
        <v>569508.59</v>
      </c>
      <c r="AB138" s="182">
        <f>+IF(Z138+[1]SADC!Z138-[1]SADC!Y138-Y138&gt;0,Z138+[1]SADC!Z138-[1]SADC!Y138-Y138,0)</f>
        <v>0</v>
      </c>
      <c r="AC138" s="181"/>
      <c r="AD138" s="182">
        <f t="shared" si="1"/>
        <v>569508.59</v>
      </c>
      <c r="AE138" s="182">
        <f t="shared" si="1"/>
        <v>0</v>
      </c>
      <c r="AF138" s="181"/>
    </row>
    <row r="139" spans="1:32">
      <c r="A139" s="181" t="str">
        <f>+VLOOKUP(B139,'[1]coa-mgb'!A$1:B$65536,2,0)</f>
        <v>Postage and Courier Services</v>
      </c>
      <c r="B139" s="184" t="s">
        <v>169</v>
      </c>
      <c r="C139" s="182">
        <f>+SUMIFS('[1]50205010 00'!$F$1:$F$65536,'[1]50205010 00'!$D$1:$D$65536,"Beginning Balance",'[1]50205010 00'!$D$1:$D$65536,"Beginning Balance")</f>
        <v>0</v>
      </c>
      <c r="D139" s="182">
        <f>+SUMIFS('[1]50205010 00'!$H$1:$H$65536,'[1]50205010 00'!$D$1:$D$65536,"Beginning Balance",'[1]50205010 00'!$D$1:$D$65536,"Beginning Balance")</f>
        <v>0</v>
      </c>
      <c r="E139" s="182">
        <f>+IF(C139+[1]SADC!C139-[1]SADC!D139-D139&gt;0,C139+[1]SADC!C139-[1]SADC!D139-D139,0)</f>
        <v>10436</v>
      </c>
      <c r="F139" s="182">
        <f>+IF(D139+[1]SADC!D139-[1]SADC!C139-C139&gt;0,D139+[1]SADC!D139-[1]SADC!C139-C139,0)</f>
        <v>0</v>
      </c>
      <c r="G139" s="182">
        <f>+IF(E139+[1]SADC!E139-[1]SADC!F139-F139&gt;0,E139+[1]SADC!E139-[1]SADC!F139-F139,0)</f>
        <v>14193.6</v>
      </c>
      <c r="H139" s="182">
        <f>+IF(F139+[1]SADC!F139-[1]SADC!E139-E139&gt;0,F139+[1]SADC!F139-[1]SADC!E139-E139,0)</f>
        <v>0</v>
      </c>
      <c r="I139" s="182">
        <f>+IF(G139+[1]SADC!G139-[1]SADC!H139-H139&gt;0,G139+[1]SADC!G139-[1]SADC!H139-H139,0)</f>
        <v>13563.6</v>
      </c>
      <c r="J139" s="182">
        <f>+IF(H139+[1]SADC!H139-[1]SADC!G139-G139&gt;0,H139+[1]SADC!H139-[1]SADC!G139-G139,0)</f>
        <v>0</v>
      </c>
      <c r="K139" s="182">
        <f>+IF(I139+[1]SADC!I139-[1]SADC!J139-J139&gt;0,I139+[1]SADC!I139-[1]SADC!J139-J139,0)</f>
        <v>13563.6</v>
      </c>
      <c r="L139" s="182">
        <f>+IF(J139+[1]SADC!J139-[1]SADC!I139-I139&gt;0,J139+[1]SADC!J139-[1]SADC!I139-I139,0)</f>
        <v>0</v>
      </c>
      <c r="M139" s="182">
        <f>+IF(K139+[1]SADC!K139-[1]SADC!L139-L139&gt;0,K139+[1]SADC!K139-[1]SADC!L139-L139,0)</f>
        <v>13563.6</v>
      </c>
      <c r="N139" s="182">
        <f>+IF(L139+[1]SADC!L139-[1]SADC!K139-K139&gt;0,L139+[1]SADC!L139-[1]SADC!K139-K139,0)</f>
        <v>0</v>
      </c>
      <c r="O139" s="182">
        <f>+IF(M139+[1]SADC!M139-[1]SADC!N139-N139&gt;0,M139+[1]SADC!M139-[1]SADC!N139-N139,0)</f>
        <v>13563.6</v>
      </c>
      <c r="P139" s="182">
        <f>+IF(N139+[1]SADC!N139-[1]SADC!M139-M139&gt;0,N139+[1]SADC!N139-[1]SADC!M139-M139,0)</f>
        <v>0</v>
      </c>
      <c r="Q139" s="182">
        <f>+IF(O139+[1]SADC!O139-[1]SADC!P139-P139&gt;0,O139+[1]SADC!O139-[1]SADC!P139-P139,0)</f>
        <v>13563.6</v>
      </c>
      <c r="R139" s="182">
        <f>+IF(P139+[1]SADC!P139-[1]SADC!O139-O139&gt;0,P139+[1]SADC!P139-[1]SADC!O139-O139,0)</f>
        <v>0</v>
      </c>
      <c r="S139" s="182">
        <f>+IF(Q139+[1]SADC!Q139-[1]SADC!R139-R139&gt;0,Q139+[1]SADC!Q139-[1]SADC!R139-R139,0)</f>
        <v>13563.6</v>
      </c>
      <c r="T139" s="182">
        <f>+IF(R139+[1]SADC!R139-[1]SADC!Q139-Q139&gt;0,R139+[1]SADC!R139-[1]SADC!Q139-Q139,0)</f>
        <v>0</v>
      </c>
      <c r="U139" s="182">
        <f>+IF(S139+[1]SADC!S139-[1]SADC!T139-T139&gt;0,S139+[1]SADC!S139-[1]SADC!T139-T139,0)</f>
        <v>13563.6</v>
      </c>
      <c r="V139" s="182">
        <f>+IF(T139+[1]SADC!T139-[1]SADC!S139-S139&gt;0,T139+[1]SADC!T139-[1]SADC!S139-S139,0)</f>
        <v>0</v>
      </c>
      <c r="W139" s="182">
        <f>+IF(U139+[1]SADC!U139-[1]SADC!V139-V139&gt;0,U139+[1]SADC!U139-[1]SADC!V139-V139,0)</f>
        <v>13563.6</v>
      </c>
      <c r="X139" s="182">
        <f>+IF(V139+[1]SADC!V139-[1]SADC!U139-U139&gt;0,V139+[1]SADC!V139-[1]SADC!U139-U139,0)</f>
        <v>0</v>
      </c>
      <c r="Y139" s="182">
        <f>+IF(W139+[1]SADC!W139-[1]SADC!X139-X139&gt;0,W139+[1]SADC!W139-[1]SADC!X139-X139,0)</f>
        <v>13563.6</v>
      </c>
      <c r="Z139" s="182">
        <f>+IF(X139+[1]SADC!X139-[1]SADC!W139-W139&gt;0,X139+[1]SADC!X139-[1]SADC!W139-W139,0)</f>
        <v>0</v>
      </c>
      <c r="AA139" s="182">
        <f>+IF(Y139+[1]SADC!Y139-[1]SADC!Z139-Z139&gt;0,Y139+[1]SADC!Y139-[1]SADC!Z139-Z139,0)</f>
        <v>13563.6</v>
      </c>
      <c r="AB139" s="182">
        <f>+IF(Z139+[1]SADC!Z139-[1]SADC!Y139-Y139&gt;0,Z139+[1]SADC!Z139-[1]SADC!Y139-Y139,0)</f>
        <v>0</v>
      </c>
      <c r="AC139" s="181"/>
      <c r="AD139" s="182">
        <f t="shared" si="1"/>
        <v>13563.6</v>
      </c>
      <c r="AE139" s="182">
        <f t="shared" si="1"/>
        <v>0</v>
      </c>
      <c r="AF139" s="181"/>
    </row>
    <row r="140" spans="1:32">
      <c r="A140" s="181" t="str">
        <f>+VLOOKUP(B140,'[1]coa-mgb'!A$1:B$65536,2,0)</f>
        <v>Telephone Expenses - Mobile</v>
      </c>
      <c r="B140" s="184" t="s">
        <v>170</v>
      </c>
      <c r="C140" s="182">
        <f>+SUMIFS('[1]50205020 01'!$F$1:$F$65536,'[1]50205020 01'!$D$1:$D$65536,"Beginning Balance",'[1]50205020 01'!$D$1:$D$65536,"Beginning Balance")</f>
        <v>0</v>
      </c>
      <c r="D140" s="182">
        <f>+SUMIFS('[1]50205020 01'!$H$1:$H$65536,'[1]50205020 01'!$D$1:$D$65536,"Beginning Balance",'[1]50205020 01'!$D$1:$D$65536,"Beginning Balance")</f>
        <v>0</v>
      </c>
      <c r="E140" s="182">
        <f>+IF(C140+[1]SADC!C140-[1]SADC!D140-D140&gt;0,C140+[1]SADC!C140-[1]SADC!D140-D140,0)</f>
        <v>4000</v>
      </c>
      <c r="F140" s="182">
        <f>+IF(D140+[1]SADC!D140-[1]SADC!C140-C140&gt;0,D140+[1]SADC!D140-[1]SADC!C140-C140,0)</f>
        <v>0</v>
      </c>
      <c r="G140" s="182">
        <f>+IF(E140+[1]SADC!E140-[1]SADC!F140-F140&gt;0,E140+[1]SADC!E140-[1]SADC!F140-F140,0)</f>
        <v>8600</v>
      </c>
      <c r="H140" s="182">
        <f>+IF(F140+[1]SADC!F140-[1]SADC!E140-E140&gt;0,F140+[1]SADC!F140-[1]SADC!E140-E140,0)</f>
        <v>0</v>
      </c>
      <c r="I140" s="182">
        <f>+IF(G140+[1]SADC!G140-[1]SADC!H140-H140&gt;0,G140+[1]SADC!G140-[1]SADC!H140-H140,0)</f>
        <v>19600</v>
      </c>
      <c r="J140" s="182">
        <f>+IF(H140+[1]SADC!H140-[1]SADC!G140-G140&gt;0,H140+[1]SADC!H140-[1]SADC!G140-G140,0)</f>
        <v>0</v>
      </c>
      <c r="K140" s="182">
        <f>+IF(I140+[1]SADC!I140-[1]SADC!J140-J140&gt;0,I140+[1]SADC!I140-[1]SADC!J140-J140,0)</f>
        <v>19600</v>
      </c>
      <c r="L140" s="182">
        <f>+IF(J140+[1]SADC!J140-[1]SADC!I140-I140&gt;0,J140+[1]SADC!J140-[1]SADC!I140-I140,0)</f>
        <v>0</v>
      </c>
      <c r="M140" s="182">
        <f>+IF(K140+[1]SADC!K140-[1]SADC!L140-L140&gt;0,K140+[1]SADC!K140-[1]SADC!L140-L140,0)</f>
        <v>19600</v>
      </c>
      <c r="N140" s="182">
        <f>+IF(L140+[1]SADC!L140-[1]SADC!K140-K140&gt;0,L140+[1]SADC!L140-[1]SADC!K140-K140,0)</f>
        <v>0</v>
      </c>
      <c r="O140" s="182">
        <f>+IF(M140+[1]SADC!M140-[1]SADC!N140-N140&gt;0,M140+[1]SADC!M140-[1]SADC!N140-N140,0)</f>
        <v>19600</v>
      </c>
      <c r="P140" s="182">
        <f>+IF(N140+[1]SADC!N140-[1]SADC!M140-M140&gt;0,N140+[1]SADC!N140-[1]SADC!M140-M140,0)</f>
        <v>0</v>
      </c>
      <c r="Q140" s="182">
        <f>+IF(O140+[1]SADC!O140-[1]SADC!P140-P140&gt;0,O140+[1]SADC!O140-[1]SADC!P140-P140,0)</f>
        <v>19600</v>
      </c>
      <c r="R140" s="182">
        <f>+IF(P140+[1]SADC!P140-[1]SADC!O140-O140&gt;0,P140+[1]SADC!P140-[1]SADC!O140-O140,0)</f>
        <v>0</v>
      </c>
      <c r="S140" s="182">
        <f>+IF(Q140+[1]SADC!Q140-[1]SADC!R140-R140&gt;0,Q140+[1]SADC!Q140-[1]SADC!R140-R140,0)</f>
        <v>19600</v>
      </c>
      <c r="T140" s="182">
        <f>+IF(R140+[1]SADC!R140-[1]SADC!Q140-Q140&gt;0,R140+[1]SADC!R140-[1]SADC!Q140-Q140,0)</f>
        <v>0</v>
      </c>
      <c r="U140" s="182">
        <f>+IF(S140+[1]SADC!S140-[1]SADC!T140-T140&gt;0,S140+[1]SADC!S140-[1]SADC!T140-T140,0)</f>
        <v>19600</v>
      </c>
      <c r="V140" s="182">
        <f>+IF(T140+[1]SADC!T140-[1]SADC!S140-S140&gt;0,T140+[1]SADC!T140-[1]SADC!S140-S140,0)</f>
        <v>0</v>
      </c>
      <c r="W140" s="182">
        <f>+IF(U140+[1]SADC!U140-[1]SADC!V140-V140&gt;0,U140+[1]SADC!U140-[1]SADC!V140-V140,0)</f>
        <v>19600</v>
      </c>
      <c r="X140" s="182">
        <f>+IF(V140+[1]SADC!V140-[1]SADC!U140-U140&gt;0,V140+[1]SADC!V140-[1]SADC!U140-U140,0)</f>
        <v>0</v>
      </c>
      <c r="Y140" s="182">
        <f>+IF(W140+[1]SADC!W140-[1]SADC!X140-X140&gt;0,W140+[1]SADC!W140-[1]SADC!X140-X140,0)</f>
        <v>19600</v>
      </c>
      <c r="Z140" s="182">
        <f>+IF(X140+[1]SADC!X140-[1]SADC!W140-W140&gt;0,X140+[1]SADC!X140-[1]SADC!W140-W140,0)</f>
        <v>0</v>
      </c>
      <c r="AA140" s="182">
        <f>+IF(Y140+[1]SADC!Y140-[1]SADC!Z140-Z140&gt;0,Y140+[1]SADC!Y140-[1]SADC!Z140-Z140,0)</f>
        <v>19600</v>
      </c>
      <c r="AB140" s="182">
        <f>+IF(Z140+[1]SADC!Z140-[1]SADC!Y140-Y140&gt;0,Z140+[1]SADC!Z140-[1]SADC!Y140-Y140,0)</f>
        <v>0</v>
      </c>
      <c r="AC140" s="181"/>
      <c r="AD140" s="182">
        <f t="shared" si="1"/>
        <v>19600</v>
      </c>
      <c r="AE140" s="182">
        <f t="shared" si="1"/>
        <v>0</v>
      </c>
      <c r="AF140" s="181"/>
    </row>
    <row r="141" spans="1:32">
      <c r="A141" s="181" t="str">
        <f>+VLOOKUP(B141,'[1]coa-mgb'!A$1:B$65536,2,0)</f>
        <v>Telephone Expenses - LandLine</v>
      </c>
      <c r="B141" s="184" t="s">
        <v>171</v>
      </c>
      <c r="C141" s="182">
        <f>+SUMIFS('[1]50205020 02'!$F$1:$F$65536,'[1]50205020 02'!$D$1:$D$65536,"Beginning Balance",'[1]50205020 02'!$D$1:$D$65536,"Beginning Balance")</f>
        <v>0</v>
      </c>
      <c r="D141" s="182">
        <f>+SUMIFS('[1]50205020 02'!$H$1:$H$65536,'[1]50205020 02'!$D$1:$D$65536,"Beginning Balance",'[1]50205020 02'!$D$1:$D$65536,"Beginning Balance")</f>
        <v>0</v>
      </c>
      <c r="E141" s="182">
        <f>+IF(C141+[1]SADC!C141-[1]SADC!D141-D141&gt;0,C141+[1]SADC!C141-[1]SADC!D141-D141,0)</f>
        <v>5637.41</v>
      </c>
      <c r="F141" s="182">
        <f>+IF(D141+[1]SADC!D141-[1]SADC!C141-C141&gt;0,D141+[1]SADC!D141-[1]SADC!C141-C141,0)</f>
        <v>0</v>
      </c>
      <c r="G141" s="182">
        <f>+IF(E141+[1]SADC!E141-[1]SADC!F141-F141&gt;0,E141+[1]SADC!E141-[1]SADC!F141-F141,0)</f>
        <v>15926.07</v>
      </c>
      <c r="H141" s="182">
        <f>+IF(F141+[1]SADC!F141-[1]SADC!E141-E141&gt;0,F141+[1]SADC!F141-[1]SADC!E141-E141,0)</f>
        <v>0</v>
      </c>
      <c r="I141" s="182">
        <f>+IF(G141+[1]SADC!G141-[1]SADC!H141-H141&gt;0,G141+[1]SADC!G141-[1]SADC!H141-H141,0)</f>
        <v>35975.07</v>
      </c>
      <c r="J141" s="182">
        <f>+IF(H141+[1]SADC!H141-[1]SADC!G141-G141&gt;0,H141+[1]SADC!H141-[1]SADC!G141-G141,0)</f>
        <v>0</v>
      </c>
      <c r="K141" s="182">
        <f>+IF(I141+[1]SADC!I141-[1]SADC!J141-J141&gt;0,I141+[1]SADC!I141-[1]SADC!J141-J141,0)</f>
        <v>35975.07</v>
      </c>
      <c r="L141" s="182">
        <f>+IF(J141+[1]SADC!J141-[1]SADC!I141-I141&gt;0,J141+[1]SADC!J141-[1]SADC!I141-I141,0)</f>
        <v>0</v>
      </c>
      <c r="M141" s="182">
        <f>+IF(K141+[1]SADC!K141-[1]SADC!L141-L141&gt;0,K141+[1]SADC!K141-[1]SADC!L141-L141,0)</f>
        <v>35975.07</v>
      </c>
      <c r="N141" s="182">
        <f>+IF(L141+[1]SADC!L141-[1]SADC!K141-K141&gt;0,L141+[1]SADC!L141-[1]SADC!K141-K141,0)</f>
        <v>0</v>
      </c>
      <c r="O141" s="182">
        <f>+IF(M141+[1]SADC!M141-[1]SADC!N141-N141&gt;0,M141+[1]SADC!M141-[1]SADC!N141-N141,0)</f>
        <v>35975.07</v>
      </c>
      <c r="P141" s="182">
        <f>+IF(N141+[1]SADC!N141-[1]SADC!M141-M141&gt;0,N141+[1]SADC!N141-[1]SADC!M141-M141,0)</f>
        <v>0</v>
      </c>
      <c r="Q141" s="182">
        <f>+IF(O141+[1]SADC!O141-[1]SADC!P141-P141&gt;0,O141+[1]SADC!O141-[1]SADC!P141-P141,0)</f>
        <v>35975.07</v>
      </c>
      <c r="R141" s="182">
        <f>+IF(P141+[1]SADC!P141-[1]SADC!O141-O141&gt;0,P141+[1]SADC!P141-[1]SADC!O141-O141,0)</f>
        <v>0</v>
      </c>
      <c r="S141" s="182">
        <f>+IF(Q141+[1]SADC!Q141-[1]SADC!R141-R141&gt;0,Q141+[1]SADC!Q141-[1]SADC!R141-R141,0)</f>
        <v>35975.07</v>
      </c>
      <c r="T141" s="182">
        <f>+IF(R141+[1]SADC!R141-[1]SADC!Q141-Q141&gt;0,R141+[1]SADC!R141-[1]SADC!Q141-Q141,0)</f>
        <v>0</v>
      </c>
      <c r="U141" s="182">
        <f>+IF(S141+[1]SADC!S141-[1]SADC!T141-T141&gt;0,S141+[1]SADC!S141-[1]SADC!T141-T141,0)</f>
        <v>35975.07</v>
      </c>
      <c r="V141" s="182">
        <f>+IF(T141+[1]SADC!T141-[1]SADC!S141-S141&gt;0,T141+[1]SADC!T141-[1]SADC!S141-S141,0)</f>
        <v>0</v>
      </c>
      <c r="W141" s="182">
        <f>+IF(U141+[1]SADC!U141-[1]SADC!V141-V141&gt;0,U141+[1]SADC!U141-[1]SADC!V141-V141,0)</f>
        <v>35975.07</v>
      </c>
      <c r="X141" s="182">
        <f>+IF(V141+[1]SADC!V141-[1]SADC!U141-U141&gt;0,V141+[1]SADC!V141-[1]SADC!U141-U141,0)</f>
        <v>0</v>
      </c>
      <c r="Y141" s="182">
        <f>+IF(W141+[1]SADC!W141-[1]SADC!X141-X141&gt;0,W141+[1]SADC!W141-[1]SADC!X141-X141,0)</f>
        <v>35975.07</v>
      </c>
      <c r="Z141" s="182">
        <f>+IF(X141+[1]SADC!X141-[1]SADC!W141-W141&gt;0,X141+[1]SADC!X141-[1]SADC!W141-W141,0)</f>
        <v>0</v>
      </c>
      <c r="AA141" s="182">
        <f>+IF(Y141+[1]SADC!Y141-[1]SADC!Z141-Z141&gt;0,Y141+[1]SADC!Y141-[1]SADC!Z141-Z141,0)</f>
        <v>35975.07</v>
      </c>
      <c r="AB141" s="182">
        <f>+IF(Z141+[1]SADC!Z141-[1]SADC!Y141-Y141&gt;0,Z141+[1]SADC!Z141-[1]SADC!Y141-Y141,0)</f>
        <v>0</v>
      </c>
      <c r="AC141" s="181"/>
      <c r="AD141" s="182">
        <f t="shared" si="1"/>
        <v>35975.07</v>
      </c>
      <c r="AE141" s="182">
        <f t="shared" si="1"/>
        <v>0</v>
      </c>
      <c r="AF141" s="181"/>
    </row>
    <row r="142" spans="1:32">
      <c r="A142" s="181" t="str">
        <f>+VLOOKUP(B142,'[1]coa-mgb'!A$1:B$65536,2,0)</f>
        <v>Internet Expenses</v>
      </c>
      <c r="B142" s="184" t="s">
        <v>172</v>
      </c>
      <c r="C142" s="182">
        <f>+SUMIFS('[1]50205030 00'!$F$1:$F$65536,'[1]50205030 00'!$D$1:$D$65536,"Beginning Balance",'[1]50205030 00'!$D$1:$D$65536,"Beginning Balance")</f>
        <v>0</v>
      </c>
      <c r="D142" s="182">
        <f>+SUMIFS('[1]50205030 00'!$H$1:$H$65536,'[1]50205030 00'!$D$1:$D$65536,"Beginning Balance",'[1]50205030 00'!$D$1:$D$65536,"Beginning Balance")</f>
        <v>0</v>
      </c>
      <c r="E142" s="182">
        <f>+IF(C142+[1]SADC!C142-[1]SADC!D142-D142&gt;0,C142+[1]SADC!C142-[1]SADC!D142-D142,0)</f>
        <v>9520</v>
      </c>
      <c r="F142" s="182">
        <f>+IF(D142+[1]SADC!D142-[1]SADC!C142-C142&gt;0,D142+[1]SADC!D142-[1]SADC!C142-C142,0)</f>
        <v>0</v>
      </c>
      <c r="G142" s="182">
        <f>+IF(E142+[1]SADC!E142-[1]SADC!F142-F142&gt;0,E142+[1]SADC!E142-[1]SADC!F142-F142,0)</f>
        <v>19600</v>
      </c>
      <c r="H142" s="182">
        <f>+IF(F142+[1]SADC!F142-[1]SADC!E142-E142&gt;0,F142+[1]SADC!F142-[1]SADC!E142-E142,0)</f>
        <v>0</v>
      </c>
      <c r="I142" s="182">
        <f>+IF(G142+[1]SADC!G142-[1]SADC!H142-H142&gt;0,G142+[1]SADC!G142-[1]SADC!H142-H142,0)</f>
        <v>29120</v>
      </c>
      <c r="J142" s="182">
        <f>+IF(H142+[1]SADC!H142-[1]SADC!G142-G142&gt;0,H142+[1]SADC!H142-[1]SADC!G142-G142,0)</f>
        <v>0</v>
      </c>
      <c r="K142" s="182">
        <f>+IF(I142+[1]SADC!I142-[1]SADC!J142-J142&gt;0,I142+[1]SADC!I142-[1]SADC!J142-J142,0)</f>
        <v>29120</v>
      </c>
      <c r="L142" s="182">
        <f>+IF(J142+[1]SADC!J142-[1]SADC!I142-I142&gt;0,J142+[1]SADC!J142-[1]SADC!I142-I142,0)</f>
        <v>0</v>
      </c>
      <c r="M142" s="182">
        <f>+IF(K142+[1]SADC!K142-[1]SADC!L142-L142&gt;0,K142+[1]SADC!K142-[1]SADC!L142-L142,0)</f>
        <v>29120</v>
      </c>
      <c r="N142" s="182">
        <f>+IF(L142+[1]SADC!L142-[1]SADC!K142-K142&gt;0,L142+[1]SADC!L142-[1]SADC!K142-K142,0)</f>
        <v>0</v>
      </c>
      <c r="O142" s="182">
        <f>+IF(M142+[1]SADC!M142-[1]SADC!N142-N142&gt;0,M142+[1]SADC!M142-[1]SADC!N142-N142,0)</f>
        <v>29120</v>
      </c>
      <c r="P142" s="182">
        <f>+IF(N142+[1]SADC!N142-[1]SADC!M142-M142&gt;0,N142+[1]SADC!N142-[1]SADC!M142-M142,0)</f>
        <v>0</v>
      </c>
      <c r="Q142" s="182">
        <f>+IF(O142+[1]SADC!O142-[1]SADC!P142-P142&gt;0,O142+[1]SADC!O142-[1]SADC!P142-P142,0)</f>
        <v>29120</v>
      </c>
      <c r="R142" s="182">
        <f>+IF(P142+[1]SADC!P142-[1]SADC!O142-O142&gt;0,P142+[1]SADC!P142-[1]SADC!O142-O142,0)</f>
        <v>0</v>
      </c>
      <c r="S142" s="182">
        <f>+IF(Q142+[1]SADC!Q142-[1]SADC!R142-R142&gt;0,Q142+[1]SADC!Q142-[1]SADC!R142-R142,0)</f>
        <v>29120</v>
      </c>
      <c r="T142" s="182">
        <f>+IF(R142+[1]SADC!R142-[1]SADC!Q142-Q142&gt;0,R142+[1]SADC!R142-[1]SADC!Q142-Q142,0)</f>
        <v>0</v>
      </c>
      <c r="U142" s="182">
        <f>+IF(S142+[1]SADC!S142-[1]SADC!T142-T142&gt;0,S142+[1]SADC!S142-[1]SADC!T142-T142,0)</f>
        <v>29120</v>
      </c>
      <c r="V142" s="182">
        <f>+IF(T142+[1]SADC!T142-[1]SADC!S142-S142&gt;0,T142+[1]SADC!T142-[1]SADC!S142-S142,0)</f>
        <v>0</v>
      </c>
      <c r="W142" s="182">
        <f>+IF(U142+[1]SADC!U142-[1]SADC!V142-V142&gt;0,U142+[1]SADC!U142-[1]SADC!V142-V142,0)</f>
        <v>29120</v>
      </c>
      <c r="X142" s="182">
        <f>+IF(V142+[1]SADC!V142-[1]SADC!U142-U142&gt;0,V142+[1]SADC!V142-[1]SADC!U142-U142,0)</f>
        <v>0</v>
      </c>
      <c r="Y142" s="182">
        <f>+IF(W142+[1]SADC!W142-[1]SADC!X142-X142&gt;0,W142+[1]SADC!W142-[1]SADC!X142-X142,0)</f>
        <v>29120</v>
      </c>
      <c r="Z142" s="182">
        <f>+IF(X142+[1]SADC!X142-[1]SADC!W142-W142&gt;0,X142+[1]SADC!X142-[1]SADC!W142-W142,0)</f>
        <v>0</v>
      </c>
      <c r="AA142" s="182">
        <f>+IF(Y142+[1]SADC!Y142-[1]SADC!Z142-Z142&gt;0,Y142+[1]SADC!Y142-[1]SADC!Z142-Z142,0)</f>
        <v>29120</v>
      </c>
      <c r="AB142" s="182">
        <f>+IF(Z142+[1]SADC!Z142-[1]SADC!Y142-Y142&gt;0,Z142+[1]SADC!Z142-[1]SADC!Y142-Y142,0)</f>
        <v>0</v>
      </c>
      <c r="AC142" s="181"/>
      <c r="AD142" s="182">
        <f t="shared" ref="AD142:AE192" si="2">+AA142</f>
        <v>29120</v>
      </c>
      <c r="AE142" s="182">
        <f t="shared" si="2"/>
        <v>0</v>
      </c>
      <c r="AF142" s="181"/>
    </row>
    <row r="143" spans="1:32">
      <c r="A143" s="181" t="str">
        <f>+VLOOKUP(B143,'[1]coa-mgb'!A$1:B$65536,2,0)</f>
        <v>Cable,Satellite,Telegraph, and Radio Expenses</v>
      </c>
      <c r="B143" s="184" t="s">
        <v>173</v>
      </c>
      <c r="C143" s="182">
        <f>+SUMIFS('[1]50205040 00'!$F$1:$F$65536,'[1]50205040 00'!$D$1:$D$65536,"Beginning Balance",'[1]50205040 00'!$D$1:$D$65536,"Beginning Balance")</f>
        <v>0</v>
      </c>
      <c r="D143" s="182">
        <f>+SUMIFS('[1]50205040 00'!$H$1:$H$65536,'[1]50205040 00'!$D$1:$D$65536,"Beginning Balance",'[1]50205040 00'!$D$1:$D$65536,"Beginning Balance")</f>
        <v>0</v>
      </c>
      <c r="E143" s="182">
        <f>+IF(C143+[1]SADC!C143-[1]SADC!D143-D143&gt;0,C143+[1]SADC!C143-[1]SADC!D143-D143,0)</f>
        <v>0</v>
      </c>
      <c r="F143" s="182">
        <f>+IF(D143+[1]SADC!D143-[1]SADC!C143-C143&gt;0,D143+[1]SADC!D143-[1]SADC!C143-C143,0)</f>
        <v>0</v>
      </c>
      <c r="G143" s="182">
        <f>+IF(E143+[1]SADC!E143-[1]SADC!F143-F143&gt;0,E143+[1]SADC!E143-[1]SADC!F143-F143,0)</f>
        <v>1254.19</v>
      </c>
      <c r="H143" s="182">
        <f>+IF(F143+[1]SADC!F143-[1]SADC!E143-E143&gt;0,F143+[1]SADC!F143-[1]SADC!E143-E143,0)</f>
        <v>0</v>
      </c>
      <c r="I143" s="182">
        <f>+IF(G143+[1]SADC!G143-[1]SADC!H143-H143&gt;0,G143+[1]SADC!G143-[1]SADC!H143-H143,0)</f>
        <v>2929.19</v>
      </c>
      <c r="J143" s="182">
        <f>+IF(H143+[1]SADC!H143-[1]SADC!G143-G143&gt;0,H143+[1]SADC!H143-[1]SADC!G143-G143,0)</f>
        <v>0</v>
      </c>
      <c r="K143" s="182">
        <f>+IF(I143+[1]SADC!I143-[1]SADC!J143-J143&gt;0,I143+[1]SADC!I143-[1]SADC!J143-J143,0)</f>
        <v>2929.19</v>
      </c>
      <c r="L143" s="182">
        <f>+IF(J143+[1]SADC!J143-[1]SADC!I143-I143&gt;0,J143+[1]SADC!J143-[1]SADC!I143-I143,0)</f>
        <v>0</v>
      </c>
      <c r="M143" s="182">
        <f>+IF(K143+[1]SADC!K143-[1]SADC!L143-L143&gt;0,K143+[1]SADC!K143-[1]SADC!L143-L143,0)</f>
        <v>2929.19</v>
      </c>
      <c r="N143" s="182">
        <f>+IF(L143+[1]SADC!L143-[1]SADC!K143-K143&gt;0,L143+[1]SADC!L143-[1]SADC!K143-K143,0)</f>
        <v>0</v>
      </c>
      <c r="O143" s="182">
        <f>+IF(M143+[1]SADC!M143-[1]SADC!N143-N143&gt;0,M143+[1]SADC!M143-[1]SADC!N143-N143,0)</f>
        <v>2929.19</v>
      </c>
      <c r="P143" s="182">
        <f>+IF(N143+[1]SADC!N143-[1]SADC!M143-M143&gt;0,N143+[1]SADC!N143-[1]SADC!M143-M143,0)</f>
        <v>0</v>
      </c>
      <c r="Q143" s="182">
        <f>+IF(O143+[1]SADC!O143-[1]SADC!P143-P143&gt;0,O143+[1]SADC!O143-[1]SADC!P143-P143,0)</f>
        <v>2929.19</v>
      </c>
      <c r="R143" s="182">
        <f>+IF(P143+[1]SADC!P143-[1]SADC!O143-O143&gt;0,P143+[1]SADC!P143-[1]SADC!O143-O143,0)</f>
        <v>0</v>
      </c>
      <c r="S143" s="182">
        <f>+IF(Q143+[1]SADC!Q143-[1]SADC!R143-R143&gt;0,Q143+[1]SADC!Q143-[1]SADC!R143-R143,0)</f>
        <v>2929.19</v>
      </c>
      <c r="T143" s="182">
        <f>+IF(R143+[1]SADC!R143-[1]SADC!Q143-Q143&gt;0,R143+[1]SADC!R143-[1]SADC!Q143-Q143,0)</f>
        <v>0</v>
      </c>
      <c r="U143" s="182">
        <f>+IF(S143+[1]SADC!S143-[1]SADC!T143-T143&gt;0,S143+[1]SADC!S143-[1]SADC!T143-T143,0)</f>
        <v>2929.19</v>
      </c>
      <c r="V143" s="182">
        <f>+IF(T143+[1]SADC!T143-[1]SADC!S143-S143&gt;0,T143+[1]SADC!T143-[1]SADC!S143-S143,0)</f>
        <v>0</v>
      </c>
      <c r="W143" s="182">
        <f>+IF(U143+[1]SADC!U143-[1]SADC!V143-V143&gt;0,U143+[1]SADC!U143-[1]SADC!V143-V143,0)</f>
        <v>2929.19</v>
      </c>
      <c r="X143" s="182">
        <f>+IF(V143+[1]SADC!V143-[1]SADC!U143-U143&gt;0,V143+[1]SADC!V143-[1]SADC!U143-U143,0)</f>
        <v>0</v>
      </c>
      <c r="Y143" s="182">
        <f>+IF(W143+[1]SADC!W143-[1]SADC!X143-X143&gt;0,W143+[1]SADC!W143-[1]SADC!X143-X143,0)</f>
        <v>2929.19</v>
      </c>
      <c r="Z143" s="182">
        <f>+IF(X143+[1]SADC!X143-[1]SADC!W143-W143&gt;0,X143+[1]SADC!X143-[1]SADC!W143-W143,0)</f>
        <v>0</v>
      </c>
      <c r="AA143" s="182">
        <f>+IF(Y143+[1]SADC!Y143-[1]SADC!Z143-Z143&gt;0,Y143+[1]SADC!Y143-[1]SADC!Z143-Z143,0)</f>
        <v>2929.19</v>
      </c>
      <c r="AB143" s="182">
        <f>+IF(Z143+[1]SADC!Z143-[1]SADC!Y143-Y143&gt;0,Z143+[1]SADC!Z143-[1]SADC!Y143-Y143,0)</f>
        <v>0</v>
      </c>
      <c r="AC143" s="181"/>
      <c r="AD143" s="182">
        <f t="shared" si="2"/>
        <v>2929.19</v>
      </c>
      <c r="AE143" s="182">
        <f t="shared" si="2"/>
        <v>0</v>
      </c>
      <c r="AF143" s="181"/>
    </row>
    <row r="144" spans="1:32">
      <c r="A144" s="181" t="str">
        <f>+VLOOKUP(B144,'[1]coa-mgb'!A$1:B$65536,2,0)</f>
        <v>Survey Expense</v>
      </c>
      <c r="B144" s="184" t="s">
        <v>175</v>
      </c>
      <c r="C144" s="182">
        <f>+SUMIFS('[1]50207010 00'!$F$1:$F$65536,'[1]50207010 00'!$D$1:$D$65536,"Beginning Balance",'[1]50207010 00'!$D$1:$D$65536,"Beginning Balance")</f>
        <v>0</v>
      </c>
      <c r="D144" s="182">
        <f>+SUMIFS('[1]50207010 00'!$H$1:$H$65536,'[1]50207010 00'!$D$1:$D$65536,"Beginning Balance",'[1]50207010 00'!$D$1:$D$65536,"Beginning Balance")</f>
        <v>0</v>
      </c>
      <c r="E144" s="182">
        <f>+IF(C144+[1]SADC!C144-[1]SADC!D144-D144&gt;0,C144+[1]SADC!C144-[1]SADC!D144-D144,0)</f>
        <v>0</v>
      </c>
      <c r="F144" s="182">
        <f>+IF(D144+[1]SADC!D144-[1]SADC!C144-C144&gt;0,D144+[1]SADC!D144-[1]SADC!C144-C144,0)</f>
        <v>0</v>
      </c>
      <c r="G144" s="182">
        <f>+IF(E144+[1]SADC!E144-[1]SADC!F144-F144&gt;0,E144+[1]SADC!E144-[1]SADC!F144-F144,0)</f>
        <v>0</v>
      </c>
      <c r="H144" s="182">
        <f>+IF(F144+[1]SADC!F144-[1]SADC!E144-E144&gt;0,F144+[1]SADC!F144-[1]SADC!E144-E144,0)</f>
        <v>0</v>
      </c>
      <c r="I144" s="182">
        <f>+IF(G144+[1]SADC!G144-[1]SADC!H144-H144&gt;0,G144+[1]SADC!G144-[1]SADC!H144-H144,0)</f>
        <v>0</v>
      </c>
      <c r="J144" s="182">
        <f>+IF(H144+[1]SADC!H144-[1]SADC!G144-G144&gt;0,H144+[1]SADC!H144-[1]SADC!G144-G144,0)</f>
        <v>0</v>
      </c>
      <c r="K144" s="182">
        <f>+IF(I144+[1]SADC!I144-[1]SADC!J144-J144&gt;0,I144+[1]SADC!I144-[1]SADC!J144-J144,0)</f>
        <v>0</v>
      </c>
      <c r="L144" s="182">
        <f>+IF(J144+[1]SADC!J144-[1]SADC!I144-I144&gt;0,J144+[1]SADC!J144-[1]SADC!I144-I144,0)</f>
        <v>0</v>
      </c>
      <c r="M144" s="182">
        <f>+IF(K144+[1]SADC!K144-[1]SADC!L144-L144&gt;0,K144+[1]SADC!K144-[1]SADC!L144-L144,0)</f>
        <v>0</v>
      </c>
      <c r="N144" s="182">
        <f>+IF(L144+[1]SADC!L144-[1]SADC!K144-K144&gt;0,L144+[1]SADC!L144-[1]SADC!K144-K144,0)</f>
        <v>0</v>
      </c>
      <c r="O144" s="182">
        <f>+IF(M144+[1]SADC!M144-[1]SADC!N144-N144&gt;0,M144+[1]SADC!M144-[1]SADC!N144-N144,0)</f>
        <v>0</v>
      </c>
      <c r="P144" s="182">
        <f>+IF(N144+[1]SADC!N144-[1]SADC!M144-M144&gt;0,N144+[1]SADC!N144-[1]SADC!M144-M144,0)</f>
        <v>0</v>
      </c>
      <c r="Q144" s="182">
        <f>+IF(O144+[1]SADC!O144-[1]SADC!P144-P144&gt;0,O144+[1]SADC!O144-[1]SADC!P144-P144,0)</f>
        <v>0</v>
      </c>
      <c r="R144" s="182">
        <f>+IF(P144+[1]SADC!P144-[1]SADC!O144-O144&gt;0,P144+[1]SADC!P144-[1]SADC!O144-O144,0)</f>
        <v>0</v>
      </c>
      <c r="S144" s="182">
        <f>+IF(Q144+[1]SADC!Q144-[1]SADC!R144-R144&gt;0,Q144+[1]SADC!Q144-[1]SADC!R144-R144,0)</f>
        <v>0</v>
      </c>
      <c r="T144" s="182">
        <f>+IF(R144+[1]SADC!R144-[1]SADC!Q144-Q144&gt;0,R144+[1]SADC!R144-[1]SADC!Q144-Q144,0)</f>
        <v>0</v>
      </c>
      <c r="U144" s="182">
        <f>+IF(S144+[1]SADC!S144-[1]SADC!T144-T144&gt;0,S144+[1]SADC!S144-[1]SADC!T144-T144,0)</f>
        <v>0</v>
      </c>
      <c r="V144" s="182">
        <f>+IF(T144+[1]SADC!T144-[1]SADC!S144-S144&gt;0,T144+[1]SADC!T144-[1]SADC!S144-S144,0)</f>
        <v>0</v>
      </c>
      <c r="W144" s="182">
        <f>+IF(U144+[1]SADC!U144-[1]SADC!V144-V144&gt;0,U144+[1]SADC!U144-[1]SADC!V144-V144,0)</f>
        <v>0</v>
      </c>
      <c r="X144" s="182">
        <f>+IF(V144+[1]SADC!V144-[1]SADC!U144-U144&gt;0,V144+[1]SADC!V144-[1]SADC!U144-U144,0)</f>
        <v>0</v>
      </c>
      <c r="Y144" s="182">
        <f>+IF(W144+[1]SADC!W144-[1]SADC!X144-X144&gt;0,W144+[1]SADC!W144-[1]SADC!X144-X144,0)</f>
        <v>0</v>
      </c>
      <c r="Z144" s="182">
        <f>+IF(X144+[1]SADC!X144-[1]SADC!W144-W144&gt;0,X144+[1]SADC!X144-[1]SADC!W144-W144,0)</f>
        <v>0</v>
      </c>
      <c r="AA144" s="182">
        <f>+IF(Y144+[1]SADC!Y144-[1]SADC!Z144-Z144&gt;0,Y144+[1]SADC!Y144-[1]SADC!Z144-Z144,0)</f>
        <v>0</v>
      </c>
      <c r="AB144" s="182">
        <f>+IF(Z144+[1]SADC!Z144-[1]SADC!Y144-Y144&gt;0,Z144+[1]SADC!Z144-[1]SADC!Y144-Y144,0)</f>
        <v>0</v>
      </c>
      <c r="AC144" s="181"/>
      <c r="AD144" s="182">
        <f t="shared" si="2"/>
        <v>0</v>
      </c>
      <c r="AE144" s="182">
        <f t="shared" si="2"/>
        <v>0</v>
      </c>
      <c r="AF144" s="181"/>
    </row>
    <row r="145" spans="1:32">
      <c r="A145" s="181" t="str">
        <f>+VLOOKUP(B145,'[1]coa-mgb'!A$1:B$65536,2,0)</f>
        <v xml:space="preserve">Extraordinary and Miscellaneous Expenses </v>
      </c>
      <c r="B145" s="184" t="s">
        <v>176</v>
      </c>
      <c r="C145" s="182">
        <f>+SUMIFS('[1]50210030 00'!$F$1:$F$65536,'[1]50210030 00'!$D$1:$D$65536,"Beginning Balance",'[1]50210030 00'!$D$1:$D$65536,"Beginning Balance")</f>
        <v>0</v>
      </c>
      <c r="D145" s="182">
        <f>+SUMIFS('[1]50210030 00'!$H$1:$H$65536,'[1]50210030 00'!$D$1:$D$65536,"Beginning Balance",'[1]50210030 00'!$D$1:$D$65536,"Beginning Balance")</f>
        <v>0</v>
      </c>
      <c r="E145" s="182">
        <f>+IF(C145+[1]SADC!C145-[1]SADC!D145-D145&gt;0,C145+[1]SADC!C145-[1]SADC!D145-D145,0)</f>
        <v>8200</v>
      </c>
      <c r="F145" s="182">
        <f>+IF(D145+[1]SADC!D145-[1]SADC!C145-C145&gt;0,D145+[1]SADC!D145-[1]SADC!C145-C145,0)</f>
        <v>0</v>
      </c>
      <c r="G145" s="182">
        <f>+IF(E145+[1]SADC!E145-[1]SADC!F145-F145&gt;0,E145+[1]SADC!E145-[1]SADC!F145-F145,0)</f>
        <v>8200</v>
      </c>
      <c r="H145" s="182">
        <f>+IF(F145+[1]SADC!F145-[1]SADC!E145-E145&gt;0,F145+[1]SADC!F145-[1]SADC!E145-E145,0)</f>
        <v>0</v>
      </c>
      <c r="I145" s="182">
        <f>+IF(G145+[1]SADC!G145-[1]SADC!H145-H145&gt;0,G145+[1]SADC!G145-[1]SADC!H145-H145,0)</f>
        <v>49200</v>
      </c>
      <c r="J145" s="182">
        <f>+IF(H145+[1]SADC!H145-[1]SADC!G145-G145&gt;0,H145+[1]SADC!H145-[1]SADC!G145-G145,0)</f>
        <v>0</v>
      </c>
      <c r="K145" s="182">
        <f>+IF(I145+[1]SADC!I145-[1]SADC!J145-J145&gt;0,I145+[1]SADC!I145-[1]SADC!J145-J145,0)</f>
        <v>49200</v>
      </c>
      <c r="L145" s="182">
        <f>+IF(J145+[1]SADC!J145-[1]SADC!I145-I145&gt;0,J145+[1]SADC!J145-[1]SADC!I145-I145,0)</f>
        <v>0</v>
      </c>
      <c r="M145" s="182">
        <f>+IF(K145+[1]SADC!K145-[1]SADC!L145-L145&gt;0,K145+[1]SADC!K145-[1]SADC!L145-L145,0)</f>
        <v>49200</v>
      </c>
      <c r="N145" s="182">
        <f>+IF(L145+[1]SADC!L145-[1]SADC!K145-K145&gt;0,L145+[1]SADC!L145-[1]SADC!K145-K145,0)</f>
        <v>0</v>
      </c>
      <c r="O145" s="182">
        <f>+IF(M145+[1]SADC!M145-[1]SADC!N145-N145&gt;0,M145+[1]SADC!M145-[1]SADC!N145-N145,0)</f>
        <v>49200</v>
      </c>
      <c r="P145" s="182">
        <f>+IF(N145+[1]SADC!N145-[1]SADC!M145-M145&gt;0,N145+[1]SADC!N145-[1]SADC!M145-M145,0)</f>
        <v>0</v>
      </c>
      <c r="Q145" s="182">
        <f>+IF(O145+[1]SADC!O145-[1]SADC!P145-P145&gt;0,O145+[1]SADC!O145-[1]SADC!P145-P145,0)</f>
        <v>49200</v>
      </c>
      <c r="R145" s="182">
        <f>+IF(P145+[1]SADC!P145-[1]SADC!O145-O145&gt;0,P145+[1]SADC!P145-[1]SADC!O145-O145,0)</f>
        <v>0</v>
      </c>
      <c r="S145" s="182">
        <f>+IF(Q145+[1]SADC!Q145-[1]SADC!R145-R145&gt;0,Q145+[1]SADC!Q145-[1]SADC!R145-R145,0)</f>
        <v>49200</v>
      </c>
      <c r="T145" s="182">
        <f>+IF(R145+[1]SADC!R145-[1]SADC!Q145-Q145&gt;0,R145+[1]SADC!R145-[1]SADC!Q145-Q145,0)</f>
        <v>0</v>
      </c>
      <c r="U145" s="182">
        <f>+IF(S145+[1]SADC!S145-[1]SADC!T145-T145&gt;0,S145+[1]SADC!S145-[1]SADC!T145-T145,0)</f>
        <v>49200</v>
      </c>
      <c r="V145" s="182">
        <f>+IF(T145+[1]SADC!T145-[1]SADC!S145-S145&gt;0,T145+[1]SADC!T145-[1]SADC!S145-S145,0)</f>
        <v>0</v>
      </c>
      <c r="W145" s="182">
        <f>+IF(U145+[1]SADC!U145-[1]SADC!V145-V145&gt;0,U145+[1]SADC!U145-[1]SADC!V145-V145,0)</f>
        <v>49200</v>
      </c>
      <c r="X145" s="182">
        <f>+IF(V145+[1]SADC!V145-[1]SADC!U145-U145&gt;0,V145+[1]SADC!V145-[1]SADC!U145-U145,0)</f>
        <v>0</v>
      </c>
      <c r="Y145" s="182">
        <f>+IF(W145+[1]SADC!W145-[1]SADC!X145-X145&gt;0,W145+[1]SADC!W145-[1]SADC!X145-X145,0)</f>
        <v>49200</v>
      </c>
      <c r="Z145" s="182">
        <f>+IF(X145+[1]SADC!X145-[1]SADC!W145-W145&gt;0,X145+[1]SADC!X145-[1]SADC!W145-W145,0)</f>
        <v>0</v>
      </c>
      <c r="AA145" s="182">
        <f>+IF(Y145+[1]SADC!Y145-[1]SADC!Z145-Z145&gt;0,Y145+[1]SADC!Y145-[1]SADC!Z145-Z145,0)</f>
        <v>49200</v>
      </c>
      <c r="AB145" s="182">
        <f>+IF(Z145+[1]SADC!Z145-[1]SADC!Y145-Y145&gt;0,Z145+[1]SADC!Z145-[1]SADC!Y145-Y145,0)</f>
        <v>0</v>
      </c>
      <c r="AC145" s="181"/>
      <c r="AD145" s="182">
        <f t="shared" si="2"/>
        <v>49200</v>
      </c>
      <c r="AE145" s="182">
        <f t="shared" si="2"/>
        <v>0</v>
      </c>
      <c r="AF145" s="181"/>
    </row>
    <row r="146" spans="1:32">
      <c r="A146" s="181" t="str">
        <f>+VLOOKUP(B146,'[1]coa-mgb'!A$1:B$65536,2,0)</f>
        <v>Legal Services</v>
      </c>
      <c r="B146" s="184" t="s">
        <v>177</v>
      </c>
      <c r="C146" s="182">
        <f>+SUMIFS('[1]50211010 00'!$F$1:$F$65536,'[1]50211010 00'!$D$1:$D$65536,"Beginning Balance",'[1]50211010 00'!$D$1:$D$65536,"Beginning Balance")</f>
        <v>0</v>
      </c>
      <c r="D146" s="182">
        <f>+SUMIFS('[1]50211010 00'!$H$1:$H$65536,'[1]50211010 00'!$D$1:$D$65536,"Beginning Balance",'[1]50211010 00'!$D$1:$D$65536,"Beginning Balance")</f>
        <v>0</v>
      </c>
      <c r="E146" s="182">
        <f>+IF(C146+[1]SADC!C146-[1]SADC!D146-D146&gt;0,C146+[1]SADC!C146-[1]SADC!D146-D146,0)</f>
        <v>0</v>
      </c>
      <c r="F146" s="182">
        <f>+IF(D146+[1]SADC!D146-[1]SADC!C146-C146&gt;0,D146+[1]SADC!D146-[1]SADC!C146-C146,0)</f>
        <v>0</v>
      </c>
      <c r="G146" s="182">
        <f>+IF(E146+[1]SADC!E146-[1]SADC!F146-F146&gt;0,E146+[1]SADC!E146-[1]SADC!F146-F146,0)</f>
        <v>0</v>
      </c>
      <c r="H146" s="182">
        <f>+IF(F146+[1]SADC!F146-[1]SADC!E146-E146&gt;0,F146+[1]SADC!F146-[1]SADC!E146-E146,0)</f>
        <v>0</v>
      </c>
      <c r="I146" s="182">
        <f>+IF(G146+[1]SADC!G146-[1]SADC!H146-H146&gt;0,G146+[1]SADC!G146-[1]SADC!H146-H146,0)</f>
        <v>100</v>
      </c>
      <c r="J146" s="182">
        <f>+IF(H146+[1]SADC!H146-[1]SADC!G146-G146&gt;0,H146+[1]SADC!H146-[1]SADC!G146-G146,0)</f>
        <v>0</v>
      </c>
      <c r="K146" s="182">
        <f>+IF(I146+[1]SADC!I146-[1]SADC!J146-J146&gt;0,I146+[1]SADC!I146-[1]SADC!J146-J146,0)</f>
        <v>100</v>
      </c>
      <c r="L146" s="182">
        <f>+IF(J146+[1]SADC!J146-[1]SADC!I146-I146&gt;0,J146+[1]SADC!J146-[1]SADC!I146-I146,0)</f>
        <v>0</v>
      </c>
      <c r="M146" s="182">
        <f>+IF(K146+[1]SADC!K146-[1]SADC!L146-L146&gt;0,K146+[1]SADC!K146-[1]SADC!L146-L146,0)</f>
        <v>100</v>
      </c>
      <c r="N146" s="182">
        <f>+IF(L146+[1]SADC!L146-[1]SADC!K146-K146&gt;0,L146+[1]SADC!L146-[1]SADC!K146-K146,0)</f>
        <v>0</v>
      </c>
      <c r="O146" s="182">
        <f>+IF(M146+[1]SADC!M146-[1]SADC!N146-N146&gt;0,M146+[1]SADC!M146-[1]SADC!N146-N146,0)</f>
        <v>100</v>
      </c>
      <c r="P146" s="182">
        <f>+IF(N146+[1]SADC!N146-[1]SADC!M146-M146&gt;0,N146+[1]SADC!N146-[1]SADC!M146-M146,0)</f>
        <v>0</v>
      </c>
      <c r="Q146" s="182">
        <f>+IF(O146+[1]SADC!O146-[1]SADC!P146-P146&gt;0,O146+[1]SADC!O146-[1]SADC!P146-P146,0)</f>
        <v>100</v>
      </c>
      <c r="R146" s="182">
        <f>+IF(P146+[1]SADC!P146-[1]SADC!O146-O146&gt;0,P146+[1]SADC!P146-[1]SADC!O146-O146,0)</f>
        <v>0</v>
      </c>
      <c r="S146" s="182">
        <f>+IF(Q146+[1]SADC!Q146-[1]SADC!R146-R146&gt;0,Q146+[1]SADC!Q146-[1]SADC!R146-R146,0)</f>
        <v>100</v>
      </c>
      <c r="T146" s="182">
        <f>+IF(R146+[1]SADC!R146-[1]SADC!Q146-Q146&gt;0,R146+[1]SADC!R146-[1]SADC!Q146-Q146,0)</f>
        <v>0</v>
      </c>
      <c r="U146" s="182">
        <f>+IF(S146+[1]SADC!S146-[1]SADC!T146-T146&gt;0,S146+[1]SADC!S146-[1]SADC!T146-T146,0)</f>
        <v>100</v>
      </c>
      <c r="V146" s="182">
        <f>+IF(T146+[1]SADC!T146-[1]SADC!S146-S146&gt;0,T146+[1]SADC!T146-[1]SADC!S146-S146,0)</f>
        <v>0</v>
      </c>
      <c r="W146" s="182">
        <f>+IF(U146+[1]SADC!U146-[1]SADC!V146-V146&gt;0,U146+[1]SADC!U146-[1]SADC!V146-V146,0)</f>
        <v>100</v>
      </c>
      <c r="X146" s="182">
        <f>+IF(V146+[1]SADC!V146-[1]SADC!U146-U146&gt;0,V146+[1]SADC!V146-[1]SADC!U146-U146,0)</f>
        <v>0</v>
      </c>
      <c r="Y146" s="182">
        <f>+IF(W146+[1]SADC!W146-[1]SADC!X146-X146&gt;0,W146+[1]SADC!W146-[1]SADC!X146-X146,0)</f>
        <v>100</v>
      </c>
      <c r="Z146" s="182">
        <f>+IF(X146+[1]SADC!X146-[1]SADC!W146-W146&gt;0,X146+[1]SADC!X146-[1]SADC!W146-W146,0)</f>
        <v>0</v>
      </c>
      <c r="AA146" s="182">
        <f>+IF(Y146+[1]SADC!Y146-[1]SADC!Z146-Z146&gt;0,Y146+[1]SADC!Y146-[1]SADC!Z146-Z146,0)</f>
        <v>100</v>
      </c>
      <c r="AB146" s="182">
        <f>+IF(Z146+[1]SADC!Z146-[1]SADC!Y146-Y146&gt;0,Z146+[1]SADC!Z146-[1]SADC!Y146-Y146,0)</f>
        <v>0</v>
      </c>
      <c r="AC146" s="181"/>
      <c r="AD146" s="182">
        <f t="shared" si="2"/>
        <v>100</v>
      </c>
      <c r="AE146" s="182">
        <f t="shared" si="2"/>
        <v>0</v>
      </c>
      <c r="AF146" s="181"/>
    </row>
    <row r="147" spans="1:32">
      <c r="A147" s="181" t="str">
        <f>+VLOOKUP(B147,'[1]coa-mgb'!A$1:B$65536,2,0)</f>
        <v>Auditing Services</v>
      </c>
      <c r="B147" s="184" t="s">
        <v>178</v>
      </c>
      <c r="C147" s="182">
        <f>+SUMIFS('[1]50211020 00'!$F$1:$F$65536,'[1]50211020 00'!$D$1:$D$65536,"Beginning Balance",'[1]50211020 00'!$D$1:$D$65536,"Beginning Balance")</f>
        <v>0</v>
      </c>
      <c r="D147" s="182">
        <f>+SUMIFS('[1]50211020 00'!$H$1:$H$65536,'[1]50211020 00'!$D$1:$D$65536,"Beginning Balance",'[1]50211020 00'!$D$1:$D$65536,"Beginning Balance")</f>
        <v>0</v>
      </c>
      <c r="E147" s="182">
        <f>+IF(C147+[1]SADC!C147-[1]SADC!D147-D147&gt;0,C147+[1]SADC!C147-[1]SADC!D147-D147,0)</f>
        <v>0</v>
      </c>
      <c r="F147" s="182">
        <f>+IF(D147+[1]SADC!D147-[1]SADC!C147-C147&gt;0,D147+[1]SADC!D147-[1]SADC!C147-C147,0)</f>
        <v>0</v>
      </c>
      <c r="G147" s="182">
        <f>+IF(E147+[1]SADC!E147-[1]SADC!F147-F147&gt;0,E147+[1]SADC!E147-[1]SADC!F147-F147,0)</f>
        <v>0</v>
      </c>
      <c r="H147" s="182">
        <f>+IF(F147+[1]SADC!F147-[1]SADC!E147-E147&gt;0,F147+[1]SADC!F147-[1]SADC!E147-E147,0)</f>
        <v>0</v>
      </c>
      <c r="I147" s="182">
        <f>+IF(G147+[1]SADC!G147-[1]SADC!H147-H147&gt;0,G147+[1]SADC!G147-[1]SADC!H147-H147,0)</f>
        <v>0</v>
      </c>
      <c r="J147" s="182">
        <f>+IF(H147+[1]SADC!H147-[1]SADC!G147-G147&gt;0,H147+[1]SADC!H147-[1]SADC!G147-G147,0)</f>
        <v>0</v>
      </c>
      <c r="K147" s="182">
        <f>+IF(I147+[1]SADC!I147-[1]SADC!J147-J147&gt;0,I147+[1]SADC!I147-[1]SADC!J147-J147,0)</f>
        <v>0</v>
      </c>
      <c r="L147" s="182">
        <f>+IF(J147+[1]SADC!J147-[1]SADC!I147-I147&gt;0,J147+[1]SADC!J147-[1]SADC!I147-I147,0)</f>
        <v>0</v>
      </c>
      <c r="M147" s="182">
        <f>+IF(K147+[1]SADC!K147-[1]SADC!L147-L147&gt;0,K147+[1]SADC!K147-[1]SADC!L147-L147,0)</f>
        <v>0</v>
      </c>
      <c r="N147" s="182">
        <f>+IF(L147+[1]SADC!L147-[1]SADC!K147-K147&gt;0,L147+[1]SADC!L147-[1]SADC!K147-K147,0)</f>
        <v>0</v>
      </c>
      <c r="O147" s="182">
        <f>+IF(M147+[1]SADC!M147-[1]SADC!N147-N147&gt;0,M147+[1]SADC!M147-[1]SADC!N147-N147,0)</f>
        <v>0</v>
      </c>
      <c r="P147" s="182">
        <f>+IF(N147+[1]SADC!N147-[1]SADC!M147-M147&gt;0,N147+[1]SADC!N147-[1]SADC!M147-M147,0)</f>
        <v>0</v>
      </c>
      <c r="Q147" s="182">
        <f>+IF(O147+[1]SADC!O147-[1]SADC!P147-P147&gt;0,O147+[1]SADC!O147-[1]SADC!P147-P147,0)</f>
        <v>0</v>
      </c>
      <c r="R147" s="182">
        <f>+IF(P147+[1]SADC!P147-[1]SADC!O147-O147&gt;0,P147+[1]SADC!P147-[1]SADC!O147-O147,0)</f>
        <v>0</v>
      </c>
      <c r="S147" s="182">
        <f>+IF(Q147+[1]SADC!Q147-[1]SADC!R147-R147&gt;0,Q147+[1]SADC!Q147-[1]SADC!R147-R147,0)</f>
        <v>0</v>
      </c>
      <c r="T147" s="182">
        <f>+IF(R147+[1]SADC!R147-[1]SADC!Q147-Q147&gt;0,R147+[1]SADC!R147-[1]SADC!Q147-Q147,0)</f>
        <v>0</v>
      </c>
      <c r="U147" s="182">
        <f>+IF(S147+[1]SADC!S147-[1]SADC!T147-T147&gt;0,S147+[1]SADC!S147-[1]SADC!T147-T147,0)</f>
        <v>0</v>
      </c>
      <c r="V147" s="182">
        <f>+IF(T147+[1]SADC!T147-[1]SADC!S147-S147&gt;0,T147+[1]SADC!T147-[1]SADC!S147-S147,0)</f>
        <v>0</v>
      </c>
      <c r="W147" s="182">
        <f>+IF(U147+[1]SADC!U147-[1]SADC!V147-V147&gt;0,U147+[1]SADC!U147-[1]SADC!V147-V147,0)</f>
        <v>0</v>
      </c>
      <c r="X147" s="182">
        <f>+IF(V147+[1]SADC!V147-[1]SADC!U147-U147&gt;0,V147+[1]SADC!V147-[1]SADC!U147-U147,0)</f>
        <v>0</v>
      </c>
      <c r="Y147" s="182">
        <f>+IF(W147+[1]SADC!W147-[1]SADC!X147-X147&gt;0,W147+[1]SADC!W147-[1]SADC!X147-X147,0)</f>
        <v>0</v>
      </c>
      <c r="Z147" s="182">
        <f>+IF(X147+[1]SADC!X147-[1]SADC!W147-W147&gt;0,X147+[1]SADC!X147-[1]SADC!W147-W147,0)</f>
        <v>0</v>
      </c>
      <c r="AA147" s="182">
        <f>+IF(Y147+[1]SADC!Y147-[1]SADC!Z147-Z147&gt;0,Y147+[1]SADC!Y147-[1]SADC!Z147-Z147,0)</f>
        <v>0</v>
      </c>
      <c r="AB147" s="182">
        <f>+IF(Z147+[1]SADC!Z147-[1]SADC!Y147-Y147&gt;0,Z147+[1]SADC!Z147-[1]SADC!Y147-Y147,0)</f>
        <v>0</v>
      </c>
      <c r="AC147" s="181"/>
      <c r="AD147" s="182">
        <f t="shared" si="2"/>
        <v>0</v>
      </c>
      <c r="AE147" s="182">
        <f t="shared" si="2"/>
        <v>0</v>
      </c>
      <c r="AF147" s="181"/>
    </row>
    <row r="148" spans="1:32">
      <c r="A148" s="181" t="str">
        <f>+VLOOKUP(B148,'[1]coa-mgb'!A$1:B$65536,2,0)</f>
        <v>Consultancy Services</v>
      </c>
      <c r="B148" s="184" t="s">
        <v>179</v>
      </c>
      <c r="C148" s="182">
        <f>+SUMIFS('[1]50211030 00'!$F$1:$F$65536,'[1]50211030 00'!$D$1:$D$65536,"Beginning Balance",'[1]50211030 00'!$D$1:$D$65536,"Beginning Balance")</f>
        <v>0</v>
      </c>
      <c r="D148" s="182">
        <f>+SUMIFS('[1]50211030 00'!$H$1:$H$65536,'[1]50211030 00'!$D$1:$D$65536,"Beginning Balance",'[1]50211030 00'!$D$1:$D$65536,"Beginning Balance")</f>
        <v>0</v>
      </c>
      <c r="E148" s="182">
        <f>+IF(C148+[1]SADC!C148-[1]SADC!D148-D148&gt;0,C148+[1]SADC!C148-[1]SADC!D148-D148,0)</f>
        <v>0</v>
      </c>
      <c r="F148" s="182">
        <f>+IF(D148+[1]SADC!D148-[1]SADC!C148-C148&gt;0,D148+[1]SADC!D148-[1]SADC!C148-C148,0)</f>
        <v>0</v>
      </c>
      <c r="G148" s="182">
        <f>+IF(E148+[1]SADC!E148-[1]SADC!F148-F148&gt;0,E148+[1]SADC!E148-[1]SADC!F148-F148,0)</f>
        <v>0</v>
      </c>
      <c r="H148" s="182">
        <f>+IF(F148+[1]SADC!F148-[1]SADC!E148-E148&gt;0,F148+[1]SADC!F148-[1]SADC!E148-E148,0)</f>
        <v>0</v>
      </c>
      <c r="I148" s="182">
        <f>+IF(G148+[1]SADC!G148-[1]SADC!H148-H148&gt;0,G148+[1]SADC!G148-[1]SADC!H148-H148,0)</f>
        <v>0</v>
      </c>
      <c r="J148" s="182">
        <f>+IF(H148+[1]SADC!H148-[1]SADC!G148-G148&gt;0,H148+[1]SADC!H148-[1]SADC!G148-G148,0)</f>
        <v>0</v>
      </c>
      <c r="K148" s="182">
        <f>+IF(I148+[1]SADC!I148-[1]SADC!J148-J148&gt;0,I148+[1]SADC!I148-[1]SADC!J148-J148,0)</f>
        <v>0</v>
      </c>
      <c r="L148" s="182">
        <f>+IF(J148+[1]SADC!J148-[1]SADC!I148-I148&gt;0,J148+[1]SADC!J148-[1]SADC!I148-I148,0)</f>
        <v>0</v>
      </c>
      <c r="M148" s="182">
        <f>+IF(K148+[1]SADC!K148-[1]SADC!L148-L148&gt;0,K148+[1]SADC!K148-[1]SADC!L148-L148,0)</f>
        <v>0</v>
      </c>
      <c r="N148" s="182">
        <f>+IF(L148+[1]SADC!L148-[1]SADC!K148-K148&gt;0,L148+[1]SADC!L148-[1]SADC!K148-K148,0)</f>
        <v>0</v>
      </c>
      <c r="O148" s="182">
        <f>+IF(M148+[1]SADC!M148-[1]SADC!N148-N148&gt;0,M148+[1]SADC!M148-[1]SADC!N148-N148,0)</f>
        <v>0</v>
      </c>
      <c r="P148" s="182">
        <f>+IF(N148+[1]SADC!N148-[1]SADC!M148-M148&gt;0,N148+[1]SADC!N148-[1]SADC!M148-M148,0)</f>
        <v>0</v>
      </c>
      <c r="Q148" s="182">
        <f>+IF(O148+[1]SADC!O148-[1]SADC!P148-P148&gt;0,O148+[1]SADC!O148-[1]SADC!P148-P148,0)</f>
        <v>0</v>
      </c>
      <c r="R148" s="182">
        <f>+IF(P148+[1]SADC!P148-[1]SADC!O148-O148&gt;0,P148+[1]SADC!P148-[1]SADC!O148-O148,0)</f>
        <v>0</v>
      </c>
      <c r="S148" s="182">
        <f>+IF(Q148+[1]SADC!Q148-[1]SADC!R148-R148&gt;0,Q148+[1]SADC!Q148-[1]SADC!R148-R148,0)</f>
        <v>0</v>
      </c>
      <c r="T148" s="182">
        <f>+IF(R148+[1]SADC!R148-[1]SADC!Q148-Q148&gt;0,R148+[1]SADC!R148-[1]SADC!Q148-Q148,0)</f>
        <v>0</v>
      </c>
      <c r="U148" s="182">
        <f>+IF(S148+[1]SADC!S148-[1]SADC!T148-T148&gt;0,S148+[1]SADC!S148-[1]SADC!T148-T148,0)</f>
        <v>0</v>
      </c>
      <c r="V148" s="182">
        <f>+IF(T148+[1]SADC!T148-[1]SADC!S148-S148&gt;0,T148+[1]SADC!T148-[1]SADC!S148-S148,0)</f>
        <v>0</v>
      </c>
      <c r="W148" s="182">
        <f>+IF(U148+[1]SADC!U148-[1]SADC!V148-V148&gt;0,U148+[1]SADC!U148-[1]SADC!V148-V148,0)</f>
        <v>0</v>
      </c>
      <c r="X148" s="182">
        <f>+IF(V148+[1]SADC!V148-[1]SADC!U148-U148&gt;0,V148+[1]SADC!V148-[1]SADC!U148-U148,0)</f>
        <v>0</v>
      </c>
      <c r="Y148" s="182">
        <f>+IF(W148+[1]SADC!W148-[1]SADC!X148-X148&gt;0,W148+[1]SADC!W148-[1]SADC!X148-X148,0)</f>
        <v>0</v>
      </c>
      <c r="Z148" s="182">
        <f>+IF(X148+[1]SADC!X148-[1]SADC!W148-W148&gt;0,X148+[1]SADC!X148-[1]SADC!W148-W148,0)</f>
        <v>0</v>
      </c>
      <c r="AA148" s="182">
        <f>+IF(Y148+[1]SADC!Y148-[1]SADC!Z148-Z148&gt;0,Y148+[1]SADC!Y148-[1]SADC!Z148-Z148,0)</f>
        <v>0</v>
      </c>
      <c r="AB148" s="182">
        <f>+IF(Z148+[1]SADC!Z148-[1]SADC!Y148-Y148&gt;0,Z148+[1]SADC!Z148-[1]SADC!Y148-Y148,0)</f>
        <v>0</v>
      </c>
      <c r="AC148" s="181"/>
      <c r="AD148" s="182">
        <f t="shared" si="2"/>
        <v>0</v>
      </c>
      <c r="AE148" s="182">
        <f t="shared" si="2"/>
        <v>0</v>
      </c>
      <c r="AF148" s="181"/>
    </row>
    <row r="149" spans="1:32">
      <c r="A149" s="181" t="str">
        <f>+VLOOKUP(B149,'[1]coa-mgb'!A$1:B$65536,2,0)</f>
        <v>Other Professional Services</v>
      </c>
      <c r="B149" s="184" t="s">
        <v>180</v>
      </c>
      <c r="C149" s="182">
        <f>+SUMIFS('[1]50211990 00'!$F$1:$F$65536,'[1]50211990 00'!$D$1:$D$65536,"Beginning Balance",'[1]50211990 00'!$D$1:$D$65536,"Beginning Balance")</f>
        <v>0</v>
      </c>
      <c r="D149" s="182">
        <f>+SUMIFS('[1]50211990 00'!$H$1:$H$65536,'[1]50211990 00'!$D$1:$D$65536,"Beginning Balance",'[1]50211990 00'!$D$1:$D$65536,"Beginning Balance")</f>
        <v>0</v>
      </c>
      <c r="E149" s="182">
        <f>+IF(C149+[1]SADC!C149-[1]SADC!D149-D149&gt;0,C149+[1]SADC!C149-[1]SADC!D149-D149,0)</f>
        <v>0</v>
      </c>
      <c r="F149" s="182">
        <f>+IF(D149+[1]SADC!D149-[1]SADC!C149-C149&gt;0,D149+[1]SADC!D149-[1]SADC!C149-C149,0)</f>
        <v>0</v>
      </c>
      <c r="G149" s="182">
        <f>+IF(E149+[1]SADC!E149-[1]SADC!F149-F149&gt;0,E149+[1]SADC!E149-[1]SADC!F149-F149,0)</f>
        <v>157260.6</v>
      </c>
      <c r="H149" s="182">
        <f>+IF(F149+[1]SADC!F149-[1]SADC!E149-E149&gt;0,F149+[1]SADC!F149-[1]SADC!E149-E149,0)</f>
        <v>0</v>
      </c>
      <c r="I149" s="182">
        <f>+IF(G149+[1]SADC!G149-[1]SADC!H149-H149&gt;0,G149+[1]SADC!G149-[1]SADC!H149-H149,0)</f>
        <v>337367.66000000003</v>
      </c>
      <c r="J149" s="182">
        <f>+IF(H149+[1]SADC!H149-[1]SADC!G149-G149&gt;0,H149+[1]SADC!H149-[1]SADC!G149-G149,0)</f>
        <v>0</v>
      </c>
      <c r="K149" s="182">
        <f>+IF(I149+[1]SADC!I149-[1]SADC!J149-J149&gt;0,I149+[1]SADC!I149-[1]SADC!J149-J149,0)</f>
        <v>337367.66000000003</v>
      </c>
      <c r="L149" s="182">
        <f>+IF(J149+[1]SADC!J149-[1]SADC!I149-I149&gt;0,J149+[1]SADC!J149-[1]SADC!I149-I149,0)</f>
        <v>0</v>
      </c>
      <c r="M149" s="182">
        <f>+IF(K149+[1]SADC!K149-[1]SADC!L149-L149&gt;0,K149+[1]SADC!K149-[1]SADC!L149-L149,0)</f>
        <v>337367.66000000003</v>
      </c>
      <c r="N149" s="182">
        <f>+IF(L149+[1]SADC!L149-[1]SADC!K149-K149&gt;0,L149+[1]SADC!L149-[1]SADC!K149-K149,0)</f>
        <v>0</v>
      </c>
      <c r="O149" s="182">
        <f>+IF(M149+[1]SADC!M149-[1]SADC!N149-N149&gt;0,M149+[1]SADC!M149-[1]SADC!N149-N149,0)</f>
        <v>337367.66000000003</v>
      </c>
      <c r="P149" s="182">
        <f>+IF(N149+[1]SADC!N149-[1]SADC!M149-M149&gt;0,N149+[1]SADC!N149-[1]SADC!M149-M149,0)</f>
        <v>0</v>
      </c>
      <c r="Q149" s="182">
        <f>+IF(O149+[1]SADC!O149-[1]SADC!P149-P149&gt;0,O149+[1]SADC!O149-[1]SADC!P149-P149,0)</f>
        <v>337367.66000000003</v>
      </c>
      <c r="R149" s="182">
        <f>+IF(P149+[1]SADC!P149-[1]SADC!O149-O149&gt;0,P149+[1]SADC!P149-[1]SADC!O149-O149,0)</f>
        <v>0</v>
      </c>
      <c r="S149" s="182">
        <f>+IF(Q149+[1]SADC!Q149-[1]SADC!R149-R149&gt;0,Q149+[1]SADC!Q149-[1]SADC!R149-R149,0)</f>
        <v>337367.66000000003</v>
      </c>
      <c r="T149" s="182">
        <f>+IF(R149+[1]SADC!R149-[1]SADC!Q149-Q149&gt;0,R149+[1]SADC!R149-[1]SADC!Q149-Q149,0)</f>
        <v>0</v>
      </c>
      <c r="U149" s="182">
        <f>+IF(S149+[1]SADC!S149-[1]SADC!T149-T149&gt;0,S149+[1]SADC!S149-[1]SADC!T149-T149,0)</f>
        <v>337367.66000000003</v>
      </c>
      <c r="V149" s="182">
        <f>+IF(T149+[1]SADC!T149-[1]SADC!S149-S149&gt;0,T149+[1]SADC!T149-[1]SADC!S149-S149,0)</f>
        <v>0</v>
      </c>
      <c r="W149" s="182">
        <f>+IF(U149+[1]SADC!U149-[1]SADC!V149-V149&gt;0,U149+[1]SADC!U149-[1]SADC!V149-V149,0)</f>
        <v>337367.66000000003</v>
      </c>
      <c r="X149" s="182">
        <f>+IF(V149+[1]SADC!V149-[1]SADC!U149-U149&gt;0,V149+[1]SADC!V149-[1]SADC!U149-U149,0)</f>
        <v>0</v>
      </c>
      <c r="Y149" s="182">
        <f>+IF(W149+[1]SADC!W149-[1]SADC!X149-X149&gt;0,W149+[1]SADC!W149-[1]SADC!X149-X149,0)</f>
        <v>337367.66000000003</v>
      </c>
      <c r="Z149" s="182">
        <f>+IF(X149+[1]SADC!X149-[1]SADC!W149-W149&gt;0,X149+[1]SADC!X149-[1]SADC!W149-W149,0)</f>
        <v>0</v>
      </c>
      <c r="AA149" s="182">
        <f>+IF(Y149+[1]SADC!Y149-[1]SADC!Z149-Z149&gt;0,Y149+[1]SADC!Y149-[1]SADC!Z149-Z149,0)</f>
        <v>337367.66000000003</v>
      </c>
      <c r="AB149" s="182">
        <f>+IF(Z149+[1]SADC!Z149-[1]SADC!Y149-Y149&gt;0,Z149+[1]SADC!Z149-[1]SADC!Y149-Y149,0)</f>
        <v>0</v>
      </c>
      <c r="AC149" s="181"/>
      <c r="AD149" s="182">
        <f t="shared" si="2"/>
        <v>337367.66000000003</v>
      </c>
      <c r="AE149" s="182">
        <f t="shared" si="2"/>
        <v>0</v>
      </c>
      <c r="AF149" s="181"/>
    </row>
    <row r="150" spans="1:32">
      <c r="A150" s="181" t="str">
        <f>+VLOOKUP(B150,'[1]coa-mgb'!A$1:B$65536,2,0)</f>
        <v>Janitorial Services</v>
      </c>
      <c r="B150" s="184" t="s">
        <v>181</v>
      </c>
      <c r="C150" s="182">
        <f>+SUMIFS('[1]50212020 00'!$F$1:$F$65536,'[1]50212020 00'!$D$1:$D$65536,"Beginning Balance",'[1]50212020 00'!$D$1:$D$65536,"Beginning Balance")</f>
        <v>0</v>
      </c>
      <c r="D150" s="182">
        <f>+SUMIFS('[1]50212020 00'!$H$1:$H$65536,'[1]50212020 00'!$D$1:$D$65536,"Beginning Balance",'[1]50212020 00'!$D$1:$D$65536,"Beginning Balance")</f>
        <v>0</v>
      </c>
      <c r="E150" s="182">
        <f>+IF(C150+[1]SADC!C150-[1]SADC!D150-D150&gt;0,C150+[1]SADC!C150-[1]SADC!D150-D150,0)</f>
        <v>0</v>
      </c>
      <c r="F150" s="182">
        <f>+IF(D150+[1]SADC!D150-[1]SADC!C150-C150&gt;0,D150+[1]SADC!D150-[1]SADC!C150-C150,0)</f>
        <v>0</v>
      </c>
      <c r="G150" s="182">
        <f>+IF(E150+[1]SADC!E150-[1]SADC!F150-F150&gt;0,E150+[1]SADC!E150-[1]SADC!F150-F150,0)</f>
        <v>34797.51</v>
      </c>
      <c r="H150" s="182">
        <f>+IF(F150+[1]SADC!F150-[1]SADC!E150-E150&gt;0,F150+[1]SADC!F150-[1]SADC!E150-E150,0)</f>
        <v>0</v>
      </c>
      <c r="I150" s="182">
        <f>+IF(G150+[1]SADC!G150-[1]SADC!H150-H150&gt;0,G150+[1]SADC!G150-[1]SADC!H150-H150,0)</f>
        <v>59963.48</v>
      </c>
      <c r="J150" s="182">
        <f>+IF(H150+[1]SADC!H150-[1]SADC!G150-G150&gt;0,H150+[1]SADC!H150-[1]SADC!G150-G150,0)</f>
        <v>0</v>
      </c>
      <c r="K150" s="182">
        <f>+IF(I150+[1]SADC!I150-[1]SADC!J150-J150&gt;0,I150+[1]SADC!I150-[1]SADC!J150-J150,0)</f>
        <v>59963.48</v>
      </c>
      <c r="L150" s="182">
        <f>+IF(J150+[1]SADC!J150-[1]SADC!I150-I150&gt;0,J150+[1]SADC!J150-[1]SADC!I150-I150,0)</f>
        <v>0</v>
      </c>
      <c r="M150" s="182">
        <f>+IF(K150+[1]SADC!K150-[1]SADC!L150-L150&gt;0,K150+[1]SADC!K150-[1]SADC!L150-L150,0)</f>
        <v>59963.48</v>
      </c>
      <c r="N150" s="182">
        <f>+IF(L150+[1]SADC!L150-[1]SADC!K150-K150&gt;0,L150+[1]SADC!L150-[1]SADC!K150-K150,0)</f>
        <v>0</v>
      </c>
      <c r="O150" s="182">
        <f>+IF(M150+[1]SADC!M150-[1]SADC!N150-N150&gt;0,M150+[1]SADC!M150-[1]SADC!N150-N150,0)</f>
        <v>59963.48</v>
      </c>
      <c r="P150" s="182">
        <f>+IF(N150+[1]SADC!N150-[1]SADC!M150-M150&gt;0,N150+[1]SADC!N150-[1]SADC!M150-M150,0)</f>
        <v>0</v>
      </c>
      <c r="Q150" s="182">
        <f>+IF(O150+[1]SADC!O150-[1]SADC!P150-P150&gt;0,O150+[1]SADC!O150-[1]SADC!P150-P150,0)</f>
        <v>59963.48</v>
      </c>
      <c r="R150" s="182">
        <f>+IF(P150+[1]SADC!P150-[1]SADC!O150-O150&gt;0,P150+[1]SADC!P150-[1]SADC!O150-O150,0)</f>
        <v>0</v>
      </c>
      <c r="S150" s="182">
        <f>+IF(Q150+[1]SADC!Q150-[1]SADC!R150-R150&gt;0,Q150+[1]SADC!Q150-[1]SADC!R150-R150,0)</f>
        <v>59963.48</v>
      </c>
      <c r="T150" s="182">
        <f>+IF(R150+[1]SADC!R150-[1]SADC!Q150-Q150&gt;0,R150+[1]SADC!R150-[1]SADC!Q150-Q150,0)</f>
        <v>0</v>
      </c>
      <c r="U150" s="182">
        <f>+IF(S150+[1]SADC!S150-[1]SADC!T150-T150&gt;0,S150+[1]SADC!S150-[1]SADC!T150-T150,0)</f>
        <v>59963.48</v>
      </c>
      <c r="V150" s="182">
        <f>+IF(T150+[1]SADC!T150-[1]SADC!S150-S150&gt;0,T150+[1]SADC!T150-[1]SADC!S150-S150,0)</f>
        <v>0</v>
      </c>
      <c r="W150" s="182">
        <f>+IF(U150+[1]SADC!U150-[1]SADC!V150-V150&gt;0,U150+[1]SADC!U150-[1]SADC!V150-V150,0)</f>
        <v>59963.48</v>
      </c>
      <c r="X150" s="182">
        <f>+IF(V150+[1]SADC!V150-[1]SADC!U150-U150&gt;0,V150+[1]SADC!V150-[1]SADC!U150-U150,0)</f>
        <v>0</v>
      </c>
      <c r="Y150" s="182">
        <f>+IF(W150+[1]SADC!W150-[1]SADC!X150-X150&gt;0,W150+[1]SADC!W150-[1]SADC!X150-X150,0)</f>
        <v>59963.48</v>
      </c>
      <c r="Z150" s="182">
        <f>+IF(X150+[1]SADC!X150-[1]SADC!W150-W150&gt;0,X150+[1]SADC!X150-[1]SADC!W150-W150,0)</f>
        <v>0</v>
      </c>
      <c r="AA150" s="182">
        <f>+IF(Y150+[1]SADC!Y150-[1]SADC!Z150-Z150&gt;0,Y150+[1]SADC!Y150-[1]SADC!Z150-Z150,0)</f>
        <v>59963.48</v>
      </c>
      <c r="AB150" s="182">
        <f>+IF(Z150+[1]SADC!Z150-[1]SADC!Y150-Y150&gt;0,Z150+[1]SADC!Z150-[1]SADC!Y150-Y150,0)</f>
        <v>0</v>
      </c>
      <c r="AC150" s="181"/>
      <c r="AD150" s="182">
        <f t="shared" si="2"/>
        <v>59963.48</v>
      </c>
      <c r="AE150" s="182">
        <f t="shared" si="2"/>
        <v>0</v>
      </c>
      <c r="AF150" s="181"/>
    </row>
    <row r="151" spans="1:32">
      <c r="A151" s="181" t="str">
        <f>+VLOOKUP(B151,'[1]coa-mgb'!A$1:B$65536,2,0)</f>
        <v>Security Services</v>
      </c>
      <c r="B151" s="184" t="s">
        <v>182</v>
      </c>
      <c r="C151" s="182">
        <f>+SUMIFS('[1]50212030 00'!$F$1:$F$65536,'[1]50212030 00'!$D$1:$D$65536,"Beginning Balance",'[1]50212030 00'!$D$1:$D$65536,"Beginning Balance")</f>
        <v>0</v>
      </c>
      <c r="D151" s="182">
        <f>+SUMIFS('[1]50212030 00'!$H$1:$H$65536,'[1]50212030 00'!$D$1:$D$65536,"Beginning Balance",'[1]50212030 00'!$D$1:$D$65536,"Beginning Balance")</f>
        <v>0</v>
      </c>
      <c r="E151" s="182">
        <f>+IF(C151+[1]SADC!C151-[1]SADC!D151-D151&gt;0,C151+[1]SADC!C151-[1]SADC!D151-D151,0)</f>
        <v>0</v>
      </c>
      <c r="F151" s="182">
        <f>+IF(D151+[1]SADC!D151-[1]SADC!C151-C151&gt;0,D151+[1]SADC!D151-[1]SADC!C151-C151,0)</f>
        <v>0</v>
      </c>
      <c r="G151" s="182">
        <f>+IF(E151+[1]SADC!E151-[1]SADC!F151-F151&gt;0,E151+[1]SADC!E151-[1]SADC!F151-F151,0)</f>
        <v>0</v>
      </c>
      <c r="H151" s="182">
        <f>+IF(F151+[1]SADC!F151-[1]SADC!E151-E151&gt;0,F151+[1]SADC!F151-[1]SADC!E151-E151,0)</f>
        <v>0</v>
      </c>
      <c r="I151" s="182">
        <f>+IF(G151+[1]SADC!G151-[1]SADC!H151-H151&gt;0,G151+[1]SADC!G151-[1]SADC!H151-H151,0)</f>
        <v>0</v>
      </c>
      <c r="J151" s="182">
        <f>+IF(H151+[1]SADC!H151-[1]SADC!G151-G151&gt;0,H151+[1]SADC!H151-[1]SADC!G151-G151,0)</f>
        <v>0</v>
      </c>
      <c r="K151" s="182">
        <f>+IF(I151+[1]SADC!I151-[1]SADC!J151-J151&gt;0,I151+[1]SADC!I151-[1]SADC!J151-J151,0)</f>
        <v>0</v>
      </c>
      <c r="L151" s="182">
        <f>+IF(J151+[1]SADC!J151-[1]SADC!I151-I151&gt;0,J151+[1]SADC!J151-[1]SADC!I151-I151,0)</f>
        <v>0</v>
      </c>
      <c r="M151" s="182">
        <f>+IF(K151+[1]SADC!K151-[1]SADC!L151-L151&gt;0,K151+[1]SADC!K151-[1]SADC!L151-L151,0)</f>
        <v>0</v>
      </c>
      <c r="N151" s="182">
        <f>+IF(L151+[1]SADC!L151-[1]SADC!K151-K151&gt;0,L151+[1]SADC!L151-[1]SADC!K151-K151,0)</f>
        <v>0</v>
      </c>
      <c r="O151" s="182">
        <f>+IF(M151+[1]SADC!M151-[1]SADC!N151-N151&gt;0,M151+[1]SADC!M151-[1]SADC!N151-N151,0)</f>
        <v>0</v>
      </c>
      <c r="P151" s="182">
        <f>+IF(N151+[1]SADC!N151-[1]SADC!M151-M151&gt;0,N151+[1]SADC!N151-[1]SADC!M151-M151,0)</f>
        <v>0</v>
      </c>
      <c r="Q151" s="182">
        <f>+IF(O151+[1]SADC!O151-[1]SADC!P151-P151&gt;0,O151+[1]SADC!O151-[1]SADC!P151-P151,0)</f>
        <v>0</v>
      </c>
      <c r="R151" s="182">
        <f>+IF(P151+[1]SADC!P151-[1]SADC!O151-O151&gt;0,P151+[1]SADC!P151-[1]SADC!O151-O151,0)</f>
        <v>0</v>
      </c>
      <c r="S151" s="182">
        <f>+IF(Q151+[1]SADC!Q151-[1]SADC!R151-R151&gt;0,Q151+[1]SADC!Q151-[1]SADC!R151-R151,0)</f>
        <v>0</v>
      </c>
      <c r="T151" s="182">
        <f>+IF(R151+[1]SADC!R151-[1]SADC!Q151-Q151&gt;0,R151+[1]SADC!R151-[1]SADC!Q151-Q151,0)</f>
        <v>0</v>
      </c>
      <c r="U151" s="182">
        <f>+IF(S151+[1]SADC!S151-[1]SADC!T151-T151&gt;0,S151+[1]SADC!S151-[1]SADC!T151-T151,0)</f>
        <v>0</v>
      </c>
      <c r="V151" s="182">
        <f>+IF(T151+[1]SADC!T151-[1]SADC!S151-S151&gt;0,T151+[1]SADC!T151-[1]SADC!S151-S151,0)</f>
        <v>0</v>
      </c>
      <c r="W151" s="182">
        <f>+IF(U151+[1]SADC!U151-[1]SADC!V151-V151&gt;0,U151+[1]SADC!U151-[1]SADC!V151-V151,0)</f>
        <v>0</v>
      </c>
      <c r="X151" s="182">
        <f>+IF(V151+[1]SADC!V151-[1]SADC!U151-U151&gt;0,V151+[1]SADC!V151-[1]SADC!U151-U151,0)</f>
        <v>0</v>
      </c>
      <c r="Y151" s="182">
        <f>+IF(W151+[1]SADC!W151-[1]SADC!X151-X151&gt;0,W151+[1]SADC!W151-[1]SADC!X151-X151,0)</f>
        <v>0</v>
      </c>
      <c r="Z151" s="182">
        <f>+IF(X151+[1]SADC!X151-[1]SADC!W151-W151&gt;0,X151+[1]SADC!X151-[1]SADC!W151-W151,0)</f>
        <v>0</v>
      </c>
      <c r="AA151" s="182">
        <f>+IF(Y151+[1]SADC!Y151-[1]SADC!Z151-Z151&gt;0,Y151+[1]SADC!Y151-[1]SADC!Z151-Z151,0)</f>
        <v>0</v>
      </c>
      <c r="AB151" s="182">
        <f>+IF(Z151+[1]SADC!Z151-[1]SADC!Y151-Y151&gt;0,Z151+[1]SADC!Z151-[1]SADC!Y151-Y151,0)</f>
        <v>0</v>
      </c>
      <c r="AC151" s="181"/>
      <c r="AD151" s="182">
        <f t="shared" si="2"/>
        <v>0</v>
      </c>
      <c r="AE151" s="182">
        <f t="shared" si="2"/>
        <v>0</v>
      </c>
      <c r="AF151" s="181"/>
    </row>
    <row r="152" spans="1:32">
      <c r="A152" s="181" t="str">
        <f>+VLOOKUP(B152,'[1]coa-mgb'!A$1:B$65536,2,0)</f>
        <v>Other General Services</v>
      </c>
      <c r="B152" s="184" t="s">
        <v>183</v>
      </c>
      <c r="C152" s="182">
        <f>+SUMIFS('[1]50212990 00'!$F$1:$F$65536,'[1]50212990 00'!$D$1:$D$65536,"Beginning Balance",'[1]50212990 00'!$D$1:$D$65536,"Beginning Balance")</f>
        <v>0</v>
      </c>
      <c r="D152" s="182">
        <f>+SUMIFS('[1]50212990 00'!$H$1:$H$65536,'[1]50212990 00'!$D$1:$D$65536,"Beginning Balance",'[1]50212990 00'!$D$1:$D$65536,"Beginning Balance")</f>
        <v>0</v>
      </c>
      <c r="E152" s="182">
        <f>+IF(C152+[1]SADC!C152-[1]SADC!D152-D152&gt;0,C152+[1]SADC!C152-[1]SADC!D152-D152,0)</f>
        <v>0</v>
      </c>
      <c r="F152" s="182">
        <f>+IF(D152+[1]SADC!D152-[1]SADC!C152-C152&gt;0,D152+[1]SADC!D152-[1]SADC!C152-C152,0)</f>
        <v>0</v>
      </c>
      <c r="G152" s="182">
        <f>+IF(E152+[1]SADC!E152-[1]SADC!F152-F152&gt;0,E152+[1]SADC!E152-[1]SADC!F152-F152,0)</f>
        <v>0</v>
      </c>
      <c r="H152" s="182">
        <f>+IF(F152+[1]SADC!F152-[1]SADC!E152-E152&gt;0,F152+[1]SADC!F152-[1]SADC!E152-E152,0)</f>
        <v>0</v>
      </c>
      <c r="I152" s="182">
        <f>+IF(G152+[1]SADC!G152-[1]SADC!H152-H152&gt;0,G152+[1]SADC!G152-[1]SADC!H152-H152,0)</f>
        <v>0</v>
      </c>
      <c r="J152" s="182">
        <f>+IF(H152+[1]SADC!H152-[1]SADC!G152-G152&gt;0,H152+[1]SADC!H152-[1]SADC!G152-G152,0)</f>
        <v>0</v>
      </c>
      <c r="K152" s="182">
        <f>+IF(I152+[1]SADC!I152-[1]SADC!J152-J152&gt;0,I152+[1]SADC!I152-[1]SADC!J152-J152,0)</f>
        <v>0</v>
      </c>
      <c r="L152" s="182">
        <f>+IF(J152+[1]SADC!J152-[1]SADC!I152-I152&gt;0,J152+[1]SADC!J152-[1]SADC!I152-I152,0)</f>
        <v>0</v>
      </c>
      <c r="M152" s="182">
        <f>+IF(K152+[1]SADC!K152-[1]SADC!L152-L152&gt;0,K152+[1]SADC!K152-[1]SADC!L152-L152,0)</f>
        <v>0</v>
      </c>
      <c r="N152" s="182">
        <f>+IF(L152+[1]SADC!L152-[1]SADC!K152-K152&gt;0,L152+[1]SADC!L152-[1]SADC!K152-K152,0)</f>
        <v>0</v>
      </c>
      <c r="O152" s="182">
        <f>+IF(M152+[1]SADC!M152-[1]SADC!N152-N152&gt;0,M152+[1]SADC!M152-[1]SADC!N152-N152,0)</f>
        <v>0</v>
      </c>
      <c r="P152" s="182">
        <f>+IF(N152+[1]SADC!N152-[1]SADC!M152-M152&gt;0,N152+[1]SADC!N152-[1]SADC!M152-M152,0)</f>
        <v>0</v>
      </c>
      <c r="Q152" s="182">
        <f>+IF(O152+[1]SADC!O152-[1]SADC!P152-P152&gt;0,O152+[1]SADC!O152-[1]SADC!P152-P152,0)</f>
        <v>0</v>
      </c>
      <c r="R152" s="182">
        <f>+IF(P152+[1]SADC!P152-[1]SADC!O152-O152&gt;0,P152+[1]SADC!P152-[1]SADC!O152-O152,0)</f>
        <v>0</v>
      </c>
      <c r="S152" s="182">
        <f>+IF(Q152+[1]SADC!Q152-[1]SADC!R152-R152&gt;0,Q152+[1]SADC!Q152-[1]SADC!R152-R152,0)</f>
        <v>0</v>
      </c>
      <c r="T152" s="182">
        <f>+IF(R152+[1]SADC!R152-[1]SADC!Q152-Q152&gt;0,R152+[1]SADC!R152-[1]SADC!Q152-Q152,0)</f>
        <v>0</v>
      </c>
      <c r="U152" s="182">
        <f>+IF(S152+[1]SADC!S152-[1]SADC!T152-T152&gt;0,S152+[1]SADC!S152-[1]SADC!T152-T152,0)</f>
        <v>0</v>
      </c>
      <c r="V152" s="182">
        <f>+IF(T152+[1]SADC!T152-[1]SADC!S152-S152&gt;0,T152+[1]SADC!T152-[1]SADC!S152-S152,0)</f>
        <v>0</v>
      </c>
      <c r="W152" s="182">
        <f>+IF(U152+[1]SADC!U152-[1]SADC!V152-V152&gt;0,U152+[1]SADC!U152-[1]SADC!V152-V152,0)</f>
        <v>0</v>
      </c>
      <c r="X152" s="182">
        <f>+IF(V152+[1]SADC!V152-[1]SADC!U152-U152&gt;0,V152+[1]SADC!V152-[1]SADC!U152-U152,0)</f>
        <v>0</v>
      </c>
      <c r="Y152" s="182">
        <f>+IF(W152+[1]SADC!W152-[1]SADC!X152-X152&gt;0,W152+[1]SADC!W152-[1]SADC!X152-X152,0)</f>
        <v>0</v>
      </c>
      <c r="Z152" s="182">
        <f>+IF(X152+[1]SADC!X152-[1]SADC!W152-W152&gt;0,X152+[1]SADC!X152-[1]SADC!W152-W152,0)</f>
        <v>0</v>
      </c>
      <c r="AA152" s="182">
        <f>+IF(Y152+[1]SADC!Y152-[1]SADC!Z152-Z152&gt;0,Y152+[1]SADC!Y152-[1]SADC!Z152-Z152,0)</f>
        <v>0</v>
      </c>
      <c r="AB152" s="182">
        <f>+IF(Z152+[1]SADC!Z152-[1]SADC!Y152-Y152&gt;0,Z152+[1]SADC!Z152-[1]SADC!Y152-Y152,0)</f>
        <v>0</v>
      </c>
      <c r="AC152" s="181"/>
      <c r="AD152" s="182">
        <f t="shared" si="2"/>
        <v>0</v>
      </c>
      <c r="AE152" s="182">
        <f t="shared" si="2"/>
        <v>0</v>
      </c>
      <c r="AF152" s="181"/>
    </row>
    <row r="153" spans="1:32">
      <c r="A153" s="181" t="str">
        <f>+VLOOKUP(B153,'[1]coa-mgb'!A$1:B$65536,2,0)</f>
        <v>Repairs and Maintenance - Office Buildings</v>
      </c>
      <c r="B153" s="184" t="s">
        <v>184</v>
      </c>
      <c r="C153" s="182">
        <f>+SUMIFS('[1]50213040 00'!$F$1:$F$65536,'[1]50213040 00'!$D$1:$D$65536,"Beginning Balance",'[1]50213040 00'!$D$1:$D$65536,"Beginning Balance")</f>
        <v>0</v>
      </c>
      <c r="D153" s="182">
        <f>+SUMIFS('[1]50213040 00'!$H$1:$H$65536,'[1]50213040 00'!$D$1:$D$65536,"Beginning Balance",'[1]50213040 00'!$D$1:$D$65536,"Beginning Balance")</f>
        <v>0</v>
      </c>
      <c r="E153" s="182">
        <f>+IF(C153+[1]SADC!C153-[1]SADC!D153-D153&gt;0,C153+[1]SADC!C153-[1]SADC!D153-D153,0)</f>
        <v>0</v>
      </c>
      <c r="F153" s="182">
        <f>+IF(D153+[1]SADC!D153-[1]SADC!C153-C153&gt;0,D153+[1]SADC!D153-[1]SADC!C153-C153,0)</f>
        <v>0</v>
      </c>
      <c r="G153" s="182">
        <f>+IF(E153+[1]SADC!E153-[1]SADC!F153-F153&gt;0,E153+[1]SADC!E153-[1]SADC!F153-F153,0)</f>
        <v>0</v>
      </c>
      <c r="H153" s="182">
        <f>+IF(F153+[1]SADC!F153-[1]SADC!E153-E153&gt;0,F153+[1]SADC!F153-[1]SADC!E153-E153,0)</f>
        <v>0</v>
      </c>
      <c r="I153" s="182">
        <f>+IF(G153+[1]SADC!G153-[1]SADC!H153-H153&gt;0,G153+[1]SADC!G153-[1]SADC!H153-H153,0)</f>
        <v>1768.65</v>
      </c>
      <c r="J153" s="182">
        <f>+IF(H153+[1]SADC!H153-[1]SADC!G153-G153&gt;0,H153+[1]SADC!H153-[1]SADC!G153-G153,0)</f>
        <v>0</v>
      </c>
      <c r="K153" s="182">
        <f>+IF(I153+[1]SADC!I153-[1]SADC!J153-J153&gt;0,I153+[1]SADC!I153-[1]SADC!J153-J153,0)</f>
        <v>1768.65</v>
      </c>
      <c r="L153" s="182">
        <f>+IF(J153+[1]SADC!J153-[1]SADC!I153-I153&gt;0,J153+[1]SADC!J153-[1]SADC!I153-I153,0)</f>
        <v>0</v>
      </c>
      <c r="M153" s="182">
        <f>+IF(K153+[1]SADC!K153-[1]SADC!L153-L153&gt;0,K153+[1]SADC!K153-[1]SADC!L153-L153,0)</f>
        <v>1768.65</v>
      </c>
      <c r="N153" s="182">
        <f>+IF(L153+[1]SADC!L153-[1]SADC!K153-K153&gt;0,L153+[1]SADC!L153-[1]SADC!K153-K153,0)</f>
        <v>0</v>
      </c>
      <c r="O153" s="182">
        <f>+IF(M153+[1]SADC!M153-[1]SADC!N153-N153&gt;0,M153+[1]SADC!M153-[1]SADC!N153-N153,0)</f>
        <v>1768.65</v>
      </c>
      <c r="P153" s="182">
        <f>+IF(N153+[1]SADC!N153-[1]SADC!M153-M153&gt;0,N153+[1]SADC!N153-[1]SADC!M153-M153,0)</f>
        <v>0</v>
      </c>
      <c r="Q153" s="182">
        <f>+IF(O153+[1]SADC!O153-[1]SADC!P153-P153&gt;0,O153+[1]SADC!O153-[1]SADC!P153-P153,0)</f>
        <v>1768.65</v>
      </c>
      <c r="R153" s="182">
        <f>+IF(P153+[1]SADC!P153-[1]SADC!O153-O153&gt;0,P153+[1]SADC!P153-[1]SADC!O153-O153,0)</f>
        <v>0</v>
      </c>
      <c r="S153" s="182">
        <f>+IF(Q153+[1]SADC!Q153-[1]SADC!R153-R153&gt;0,Q153+[1]SADC!Q153-[1]SADC!R153-R153,0)</f>
        <v>1768.65</v>
      </c>
      <c r="T153" s="182">
        <f>+IF(R153+[1]SADC!R153-[1]SADC!Q153-Q153&gt;0,R153+[1]SADC!R153-[1]SADC!Q153-Q153,0)</f>
        <v>0</v>
      </c>
      <c r="U153" s="182">
        <f>+IF(S153+[1]SADC!S153-[1]SADC!T153-T153&gt;0,S153+[1]SADC!S153-[1]SADC!T153-T153,0)</f>
        <v>1768.65</v>
      </c>
      <c r="V153" s="182">
        <f>+IF(T153+[1]SADC!T153-[1]SADC!S153-S153&gt;0,T153+[1]SADC!T153-[1]SADC!S153-S153,0)</f>
        <v>0</v>
      </c>
      <c r="W153" s="182">
        <f>+IF(U153+[1]SADC!U153-[1]SADC!V153-V153&gt;0,U153+[1]SADC!U153-[1]SADC!V153-V153,0)</f>
        <v>1768.65</v>
      </c>
      <c r="X153" s="182">
        <f>+IF(V153+[1]SADC!V153-[1]SADC!U153-U153&gt;0,V153+[1]SADC!V153-[1]SADC!U153-U153,0)</f>
        <v>0</v>
      </c>
      <c r="Y153" s="182">
        <f>+IF(W153+[1]SADC!W153-[1]SADC!X153-X153&gt;0,W153+[1]SADC!W153-[1]SADC!X153-X153,0)</f>
        <v>1768.65</v>
      </c>
      <c r="Z153" s="182">
        <f>+IF(X153+[1]SADC!X153-[1]SADC!W153-W153&gt;0,X153+[1]SADC!X153-[1]SADC!W153-W153,0)</f>
        <v>0</v>
      </c>
      <c r="AA153" s="182">
        <f>+IF(Y153+[1]SADC!Y153-[1]SADC!Z153-Z153&gt;0,Y153+[1]SADC!Y153-[1]SADC!Z153-Z153,0)</f>
        <v>1768.65</v>
      </c>
      <c r="AB153" s="182">
        <f>+IF(Z153+[1]SADC!Z153-[1]SADC!Y153-Y153&gt;0,Z153+[1]SADC!Z153-[1]SADC!Y153-Y153,0)</f>
        <v>0</v>
      </c>
      <c r="AC153" s="181"/>
      <c r="AD153" s="182">
        <f t="shared" si="2"/>
        <v>1768.65</v>
      </c>
      <c r="AE153" s="182">
        <f t="shared" si="2"/>
        <v>0</v>
      </c>
      <c r="AF153" s="181"/>
    </row>
    <row r="154" spans="1:32">
      <c r="A154" s="181" t="str">
        <f>+VLOOKUP(B154,'[1]coa-mgb'!A$1:B$65536,2,0)</f>
        <v xml:space="preserve">Repairs and Maintenance - Machinery </v>
      </c>
      <c r="B154" s="184" t="s">
        <v>185</v>
      </c>
      <c r="C154" s="182">
        <f>+SUMIFS('[1]50213050 01'!$F$1:$F$65536,'[1]50213050 01'!$D$1:$D$65536,"Beginning Balance",'[1]50213050 01'!$D$1:$D$65536,"Beginning Balance")</f>
        <v>0</v>
      </c>
      <c r="D154" s="182">
        <f>+SUMIFS('[1]50213050 01'!$H$1:$H$65536,'[1]50213050 01'!$D$1:$D$65536,"Beginning Balance",'[1]50213050 01'!$D$1:$D$65536,"Beginning Balance")</f>
        <v>0</v>
      </c>
      <c r="E154" s="182">
        <f>+IF(C154+[1]SADC!C154-[1]SADC!D154-D154&gt;0,C154+[1]SADC!C154-[1]SADC!D154-D154,0)</f>
        <v>0</v>
      </c>
      <c r="F154" s="182">
        <f>+IF(D154+[1]SADC!D154-[1]SADC!C154-C154&gt;0,D154+[1]SADC!D154-[1]SADC!C154-C154,0)</f>
        <v>0</v>
      </c>
      <c r="G154" s="182">
        <f>+IF(E154+[1]SADC!E154-[1]SADC!F154-F154&gt;0,E154+[1]SADC!E154-[1]SADC!F154-F154,0)</f>
        <v>0</v>
      </c>
      <c r="H154" s="182">
        <f>+IF(F154+[1]SADC!F154-[1]SADC!E154-E154&gt;0,F154+[1]SADC!F154-[1]SADC!E154-E154,0)</f>
        <v>0</v>
      </c>
      <c r="I154" s="182">
        <f>+IF(G154+[1]SADC!G154-[1]SADC!H154-H154&gt;0,G154+[1]SADC!G154-[1]SADC!H154-H154,0)</f>
        <v>0</v>
      </c>
      <c r="J154" s="182">
        <f>+IF(H154+[1]SADC!H154-[1]SADC!G154-G154&gt;0,H154+[1]SADC!H154-[1]SADC!G154-G154,0)</f>
        <v>0</v>
      </c>
      <c r="K154" s="182">
        <f>+IF(I154+[1]SADC!I154-[1]SADC!J154-J154&gt;0,I154+[1]SADC!I154-[1]SADC!J154-J154,0)</f>
        <v>0</v>
      </c>
      <c r="L154" s="182">
        <f>+IF(J154+[1]SADC!J154-[1]SADC!I154-I154&gt;0,J154+[1]SADC!J154-[1]SADC!I154-I154,0)</f>
        <v>0</v>
      </c>
      <c r="M154" s="182">
        <f>+IF(K154+[1]SADC!K154-[1]SADC!L154-L154&gt;0,K154+[1]SADC!K154-[1]SADC!L154-L154,0)</f>
        <v>0</v>
      </c>
      <c r="N154" s="182">
        <f>+IF(L154+[1]SADC!L154-[1]SADC!K154-K154&gt;0,L154+[1]SADC!L154-[1]SADC!K154-K154,0)</f>
        <v>0</v>
      </c>
      <c r="O154" s="182">
        <f>+IF(M154+[1]SADC!M154-[1]SADC!N154-N154&gt;0,M154+[1]SADC!M154-[1]SADC!N154-N154,0)</f>
        <v>0</v>
      </c>
      <c r="P154" s="182">
        <f>+IF(N154+[1]SADC!N154-[1]SADC!M154-M154&gt;0,N154+[1]SADC!N154-[1]SADC!M154-M154,0)</f>
        <v>0</v>
      </c>
      <c r="Q154" s="182">
        <f>+IF(O154+[1]SADC!O154-[1]SADC!P154-P154&gt;0,O154+[1]SADC!O154-[1]SADC!P154-P154,0)</f>
        <v>0</v>
      </c>
      <c r="R154" s="182">
        <f>+IF(P154+[1]SADC!P154-[1]SADC!O154-O154&gt;0,P154+[1]SADC!P154-[1]SADC!O154-O154,0)</f>
        <v>0</v>
      </c>
      <c r="S154" s="182">
        <f>+IF(Q154+[1]SADC!Q154-[1]SADC!R154-R154&gt;0,Q154+[1]SADC!Q154-[1]SADC!R154-R154,0)</f>
        <v>0</v>
      </c>
      <c r="T154" s="182">
        <f>+IF(R154+[1]SADC!R154-[1]SADC!Q154-Q154&gt;0,R154+[1]SADC!R154-[1]SADC!Q154-Q154,0)</f>
        <v>0</v>
      </c>
      <c r="U154" s="182">
        <f>+IF(S154+[1]SADC!S154-[1]SADC!T154-T154&gt;0,S154+[1]SADC!S154-[1]SADC!T154-T154,0)</f>
        <v>0</v>
      </c>
      <c r="V154" s="182">
        <f>+IF(T154+[1]SADC!T154-[1]SADC!S154-S154&gt;0,T154+[1]SADC!T154-[1]SADC!S154-S154,0)</f>
        <v>0</v>
      </c>
      <c r="W154" s="182">
        <f>+IF(U154+[1]SADC!U154-[1]SADC!V154-V154&gt;0,U154+[1]SADC!U154-[1]SADC!V154-V154,0)</f>
        <v>0</v>
      </c>
      <c r="X154" s="182">
        <f>+IF(V154+[1]SADC!V154-[1]SADC!U154-U154&gt;0,V154+[1]SADC!V154-[1]SADC!U154-U154,0)</f>
        <v>0</v>
      </c>
      <c r="Y154" s="182">
        <f>+IF(W154+[1]SADC!W154-[1]SADC!X154-X154&gt;0,W154+[1]SADC!W154-[1]SADC!X154-X154,0)</f>
        <v>0</v>
      </c>
      <c r="Z154" s="182">
        <f>+IF(X154+[1]SADC!X154-[1]SADC!W154-W154&gt;0,X154+[1]SADC!X154-[1]SADC!W154-W154,0)</f>
        <v>0</v>
      </c>
      <c r="AA154" s="182">
        <f>+IF(Y154+[1]SADC!Y154-[1]SADC!Z154-Z154&gt;0,Y154+[1]SADC!Y154-[1]SADC!Z154-Z154,0)</f>
        <v>0</v>
      </c>
      <c r="AB154" s="182">
        <f>+IF(Z154+[1]SADC!Z154-[1]SADC!Y154-Y154&gt;0,Z154+[1]SADC!Z154-[1]SADC!Y154-Y154,0)</f>
        <v>0</v>
      </c>
      <c r="AC154" s="181"/>
      <c r="AD154" s="182">
        <f t="shared" si="2"/>
        <v>0</v>
      </c>
      <c r="AE154" s="182">
        <f t="shared" si="2"/>
        <v>0</v>
      </c>
      <c r="AF154" s="181"/>
    </row>
    <row r="155" spans="1:32">
      <c r="A155" s="181" t="str">
        <f>+VLOOKUP(B155,'[1]coa-mgb'!A$1:B$65536,2,0)</f>
        <v>Repairs and Maintenance - Office Equipment</v>
      </c>
      <c r="B155" s="184" t="s">
        <v>186</v>
      </c>
      <c r="C155" s="182">
        <f>+SUMIFS('[1]50213050 02'!$F$1:$F$65536,'[1]50213050 02'!$D$1:$D$65536,"Beginning Balance",'[1]50213050 02'!$D$1:$D$65536,"Beginning Balance")</f>
        <v>0</v>
      </c>
      <c r="D155" s="182">
        <f>+SUMIFS('[1]50213050 02'!$H$1:$H$65536,'[1]50213050 02'!$D$1:$D$65536,"Beginning Balance",'[1]50213050 02'!$D$1:$D$65536,"Beginning Balance")</f>
        <v>0</v>
      </c>
      <c r="E155" s="182">
        <f>+IF(C155+[1]SADC!C155-[1]SADC!D155-D155&gt;0,C155+[1]SADC!C155-[1]SADC!D155-D155,0)</f>
        <v>780</v>
      </c>
      <c r="F155" s="182">
        <f>+IF(D155+[1]SADC!D155-[1]SADC!C155-C155&gt;0,D155+[1]SADC!D155-[1]SADC!C155-C155,0)</f>
        <v>0</v>
      </c>
      <c r="G155" s="182">
        <f>+IF(E155+[1]SADC!E155-[1]SADC!F155-F155&gt;0,E155+[1]SADC!E155-[1]SADC!F155-F155,0)</f>
        <v>1180</v>
      </c>
      <c r="H155" s="182">
        <f>+IF(F155+[1]SADC!F155-[1]SADC!E155-E155&gt;0,F155+[1]SADC!F155-[1]SADC!E155-E155,0)</f>
        <v>0</v>
      </c>
      <c r="I155" s="182">
        <f>+IF(G155+[1]SADC!G155-[1]SADC!H155-H155&gt;0,G155+[1]SADC!G155-[1]SADC!H155-H155,0)</f>
        <v>1630</v>
      </c>
      <c r="J155" s="182">
        <f>+IF(H155+[1]SADC!H155-[1]SADC!G155-G155&gt;0,H155+[1]SADC!H155-[1]SADC!G155-G155,0)</f>
        <v>0</v>
      </c>
      <c r="K155" s="182">
        <f>+IF(I155+[1]SADC!I155-[1]SADC!J155-J155&gt;0,I155+[1]SADC!I155-[1]SADC!J155-J155,0)</f>
        <v>1630</v>
      </c>
      <c r="L155" s="182">
        <f>+IF(J155+[1]SADC!J155-[1]SADC!I155-I155&gt;0,J155+[1]SADC!J155-[1]SADC!I155-I155,0)</f>
        <v>0</v>
      </c>
      <c r="M155" s="182">
        <f>+IF(K155+[1]SADC!K155-[1]SADC!L155-L155&gt;0,K155+[1]SADC!K155-[1]SADC!L155-L155,0)</f>
        <v>1630</v>
      </c>
      <c r="N155" s="182">
        <f>+IF(L155+[1]SADC!L155-[1]SADC!K155-K155&gt;0,L155+[1]SADC!L155-[1]SADC!K155-K155,0)</f>
        <v>0</v>
      </c>
      <c r="O155" s="182">
        <f>+IF(M155+[1]SADC!M155-[1]SADC!N155-N155&gt;0,M155+[1]SADC!M155-[1]SADC!N155-N155,0)</f>
        <v>1630</v>
      </c>
      <c r="P155" s="182">
        <f>+IF(N155+[1]SADC!N155-[1]SADC!M155-M155&gt;0,N155+[1]SADC!N155-[1]SADC!M155-M155,0)</f>
        <v>0</v>
      </c>
      <c r="Q155" s="182">
        <f>+IF(O155+[1]SADC!O155-[1]SADC!P155-P155&gt;0,O155+[1]SADC!O155-[1]SADC!P155-P155,0)</f>
        <v>1630</v>
      </c>
      <c r="R155" s="182">
        <f>+IF(P155+[1]SADC!P155-[1]SADC!O155-O155&gt;0,P155+[1]SADC!P155-[1]SADC!O155-O155,0)</f>
        <v>0</v>
      </c>
      <c r="S155" s="182">
        <f>+IF(Q155+[1]SADC!Q155-[1]SADC!R155-R155&gt;0,Q155+[1]SADC!Q155-[1]SADC!R155-R155,0)</f>
        <v>1630</v>
      </c>
      <c r="T155" s="182">
        <f>+IF(R155+[1]SADC!R155-[1]SADC!Q155-Q155&gt;0,R155+[1]SADC!R155-[1]SADC!Q155-Q155,0)</f>
        <v>0</v>
      </c>
      <c r="U155" s="182">
        <f>+IF(S155+[1]SADC!S155-[1]SADC!T155-T155&gt;0,S155+[1]SADC!S155-[1]SADC!T155-T155,0)</f>
        <v>1630</v>
      </c>
      <c r="V155" s="182">
        <f>+IF(T155+[1]SADC!T155-[1]SADC!S155-S155&gt;0,T155+[1]SADC!T155-[1]SADC!S155-S155,0)</f>
        <v>0</v>
      </c>
      <c r="W155" s="182">
        <f>+IF(U155+[1]SADC!U155-[1]SADC!V155-V155&gt;0,U155+[1]SADC!U155-[1]SADC!V155-V155,0)</f>
        <v>1630</v>
      </c>
      <c r="X155" s="182">
        <f>+IF(V155+[1]SADC!V155-[1]SADC!U155-U155&gt;0,V155+[1]SADC!V155-[1]SADC!U155-U155,0)</f>
        <v>0</v>
      </c>
      <c r="Y155" s="182">
        <f>+IF(W155+[1]SADC!W155-[1]SADC!X155-X155&gt;0,W155+[1]SADC!W155-[1]SADC!X155-X155,0)</f>
        <v>1630</v>
      </c>
      <c r="Z155" s="182">
        <f>+IF(X155+[1]SADC!X155-[1]SADC!W155-W155&gt;0,X155+[1]SADC!X155-[1]SADC!W155-W155,0)</f>
        <v>0</v>
      </c>
      <c r="AA155" s="182">
        <f>+IF(Y155+[1]SADC!Y155-[1]SADC!Z155-Z155&gt;0,Y155+[1]SADC!Y155-[1]SADC!Z155-Z155,0)</f>
        <v>1630</v>
      </c>
      <c r="AB155" s="182">
        <f>+IF(Z155+[1]SADC!Z155-[1]SADC!Y155-Y155&gt;0,Z155+[1]SADC!Z155-[1]SADC!Y155-Y155,0)</f>
        <v>0</v>
      </c>
      <c r="AC155" s="181"/>
      <c r="AD155" s="182">
        <f t="shared" si="2"/>
        <v>1630</v>
      </c>
      <c r="AE155" s="182">
        <f t="shared" si="2"/>
        <v>0</v>
      </c>
      <c r="AF155" s="181"/>
    </row>
    <row r="156" spans="1:32">
      <c r="A156" s="181" t="str">
        <f>+VLOOKUP(B156,'[1]coa-mgb'!A$1:B$65536,2,0)</f>
        <v>Repairs and Maintenance - ICT Equipment</v>
      </c>
      <c r="B156" s="184" t="s">
        <v>187</v>
      </c>
      <c r="C156" s="182">
        <f>+SUMIFS('[1]50213050 03'!$F$1:$F$65536,'[1]50213050 03'!$D$1:$D$65536,"Beginning Balance",'[1]50213050 03'!$D$1:$D$65536,"Beginning Balance")</f>
        <v>0</v>
      </c>
      <c r="D156" s="182">
        <f>+SUMIFS('[1]50213050 03'!$H$1:$H$65536,'[1]50213050 03'!$D$1:$D$65536,"Beginning Balance",'[1]50213050 03'!$D$1:$D$65536,"Beginning Balance")</f>
        <v>0</v>
      </c>
      <c r="E156" s="182">
        <f>+IF(C156+[1]SADC!C156-[1]SADC!D156-D156&gt;0,C156+[1]SADC!C156-[1]SADC!D156-D156,0)</f>
        <v>750</v>
      </c>
      <c r="F156" s="182">
        <f>+IF(D156+[1]SADC!D156-[1]SADC!C156-C156&gt;0,D156+[1]SADC!D156-[1]SADC!C156-C156,0)</f>
        <v>0</v>
      </c>
      <c r="G156" s="182">
        <f>+IF(E156+[1]SADC!E156-[1]SADC!F156-F156&gt;0,E156+[1]SADC!E156-[1]SADC!F156-F156,0)</f>
        <v>750</v>
      </c>
      <c r="H156" s="182">
        <f>+IF(F156+[1]SADC!F156-[1]SADC!E156-E156&gt;0,F156+[1]SADC!F156-[1]SADC!E156-E156,0)</f>
        <v>0</v>
      </c>
      <c r="I156" s="182">
        <f>+IF(G156+[1]SADC!G156-[1]SADC!H156-H156&gt;0,G156+[1]SADC!G156-[1]SADC!H156-H156,0)</f>
        <v>750</v>
      </c>
      <c r="J156" s="182">
        <f>+IF(H156+[1]SADC!H156-[1]SADC!G156-G156&gt;0,H156+[1]SADC!H156-[1]SADC!G156-G156,0)</f>
        <v>0</v>
      </c>
      <c r="K156" s="182">
        <f>+IF(I156+[1]SADC!I156-[1]SADC!J156-J156&gt;0,I156+[1]SADC!I156-[1]SADC!J156-J156,0)</f>
        <v>750</v>
      </c>
      <c r="L156" s="182">
        <f>+IF(J156+[1]SADC!J156-[1]SADC!I156-I156&gt;0,J156+[1]SADC!J156-[1]SADC!I156-I156,0)</f>
        <v>0</v>
      </c>
      <c r="M156" s="182">
        <f>+IF(K156+[1]SADC!K156-[1]SADC!L156-L156&gt;0,K156+[1]SADC!K156-[1]SADC!L156-L156,0)</f>
        <v>750</v>
      </c>
      <c r="N156" s="182">
        <f>+IF(L156+[1]SADC!L156-[1]SADC!K156-K156&gt;0,L156+[1]SADC!L156-[1]SADC!K156-K156,0)</f>
        <v>0</v>
      </c>
      <c r="O156" s="182">
        <f>+IF(M156+[1]SADC!M156-[1]SADC!N156-N156&gt;0,M156+[1]SADC!M156-[1]SADC!N156-N156,0)</f>
        <v>750</v>
      </c>
      <c r="P156" s="182">
        <f>+IF(N156+[1]SADC!N156-[1]SADC!M156-M156&gt;0,N156+[1]SADC!N156-[1]SADC!M156-M156,0)</f>
        <v>0</v>
      </c>
      <c r="Q156" s="182">
        <f>+IF(O156+[1]SADC!O156-[1]SADC!P156-P156&gt;0,O156+[1]SADC!O156-[1]SADC!P156-P156,0)</f>
        <v>750</v>
      </c>
      <c r="R156" s="182">
        <f>+IF(P156+[1]SADC!P156-[1]SADC!O156-O156&gt;0,P156+[1]SADC!P156-[1]SADC!O156-O156,0)</f>
        <v>0</v>
      </c>
      <c r="S156" s="182">
        <f>+IF(Q156+[1]SADC!Q156-[1]SADC!R156-R156&gt;0,Q156+[1]SADC!Q156-[1]SADC!R156-R156,0)</f>
        <v>750</v>
      </c>
      <c r="T156" s="182">
        <f>+IF(R156+[1]SADC!R156-[1]SADC!Q156-Q156&gt;0,R156+[1]SADC!R156-[1]SADC!Q156-Q156,0)</f>
        <v>0</v>
      </c>
      <c r="U156" s="182">
        <f>+IF(S156+[1]SADC!S156-[1]SADC!T156-T156&gt;0,S156+[1]SADC!S156-[1]SADC!T156-T156,0)</f>
        <v>750</v>
      </c>
      <c r="V156" s="182">
        <f>+IF(T156+[1]SADC!T156-[1]SADC!S156-S156&gt;0,T156+[1]SADC!T156-[1]SADC!S156-S156,0)</f>
        <v>0</v>
      </c>
      <c r="W156" s="182">
        <f>+IF(U156+[1]SADC!U156-[1]SADC!V156-V156&gt;0,U156+[1]SADC!U156-[1]SADC!V156-V156,0)</f>
        <v>750</v>
      </c>
      <c r="X156" s="182">
        <f>+IF(V156+[1]SADC!V156-[1]SADC!U156-U156&gt;0,V156+[1]SADC!V156-[1]SADC!U156-U156,0)</f>
        <v>0</v>
      </c>
      <c r="Y156" s="182">
        <f>+IF(W156+[1]SADC!W156-[1]SADC!X156-X156&gt;0,W156+[1]SADC!W156-[1]SADC!X156-X156,0)</f>
        <v>750</v>
      </c>
      <c r="Z156" s="182">
        <f>+IF(X156+[1]SADC!X156-[1]SADC!W156-W156&gt;0,X156+[1]SADC!X156-[1]SADC!W156-W156,0)</f>
        <v>0</v>
      </c>
      <c r="AA156" s="182">
        <f>+IF(Y156+[1]SADC!Y156-[1]SADC!Z156-Z156&gt;0,Y156+[1]SADC!Y156-[1]SADC!Z156-Z156,0)</f>
        <v>750</v>
      </c>
      <c r="AB156" s="182">
        <f>+IF(Z156+[1]SADC!Z156-[1]SADC!Y156-Y156&gt;0,Z156+[1]SADC!Z156-[1]SADC!Y156-Y156,0)</f>
        <v>0</v>
      </c>
      <c r="AC156" s="181"/>
      <c r="AD156" s="182">
        <f t="shared" si="2"/>
        <v>750</v>
      </c>
      <c r="AE156" s="182">
        <f t="shared" si="2"/>
        <v>0</v>
      </c>
      <c r="AF156" s="181"/>
    </row>
    <row r="157" spans="1:32">
      <c r="A157" s="181" t="str">
        <f>+VLOOKUP(B157,'[1]coa-mgb'!A$1:B$65536,2,0)</f>
        <v>Repairs and Maintenance - Technical and Scientific Equipment</v>
      </c>
      <c r="B157" s="184" t="s">
        <v>188</v>
      </c>
      <c r="C157" s="182">
        <f>+SUMIFS('[1]50213050 14'!$F$1:$F$65536,'[1]50213050 14'!$D$1:$D$65536,"Beginning Balance",'[1]50213050 14'!$D$1:$D$65536,"Beginning Balance")</f>
        <v>0</v>
      </c>
      <c r="D157" s="182">
        <f>+SUMIFS('[1]50213050 14'!$H$1:$H$65536,'[1]50213050 14'!$D$1:$D$65536,"Beginning Balance",'[1]50213050 14'!$D$1:$D$65536,"Beginning Balance")</f>
        <v>0</v>
      </c>
      <c r="E157" s="182">
        <f>+IF(C157+[1]SADC!C157-[1]SADC!D157-D157&gt;0,C157+[1]SADC!C157-[1]SADC!D157-D157,0)</f>
        <v>0</v>
      </c>
      <c r="F157" s="182">
        <f>+IF(D157+[1]SADC!D157-[1]SADC!C157-C157&gt;0,D157+[1]SADC!D157-[1]SADC!C157-C157,0)</f>
        <v>0</v>
      </c>
      <c r="G157" s="182">
        <f>+IF(E157+[1]SADC!E157-[1]SADC!F157-F157&gt;0,E157+[1]SADC!E157-[1]SADC!F157-F157,0)</f>
        <v>0</v>
      </c>
      <c r="H157" s="182">
        <f>+IF(F157+[1]SADC!F157-[1]SADC!E157-E157&gt;0,F157+[1]SADC!F157-[1]SADC!E157-E157,0)</f>
        <v>0</v>
      </c>
      <c r="I157" s="182">
        <f>+IF(G157+[1]SADC!G157-[1]SADC!H157-H157&gt;0,G157+[1]SADC!G157-[1]SADC!H157-H157,0)</f>
        <v>0</v>
      </c>
      <c r="J157" s="182">
        <f>+IF(H157+[1]SADC!H157-[1]SADC!G157-G157&gt;0,H157+[1]SADC!H157-[1]SADC!G157-G157,0)</f>
        <v>0</v>
      </c>
      <c r="K157" s="182">
        <f>+IF(I157+[1]SADC!I157-[1]SADC!J157-J157&gt;0,I157+[1]SADC!I157-[1]SADC!J157-J157,0)</f>
        <v>0</v>
      </c>
      <c r="L157" s="182">
        <f>+IF(J157+[1]SADC!J157-[1]SADC!I157-I157&gt;0,J157+[1]SADC!J157-[1]SADC!I157-I157,0)</f>
        <v>0</v>
      </c>
      <c r="M157" s="182">
        <f>+IF(K157+[1]SADC!K157-[1]SADC!L157-L157&gt;0,K157+[1]SADC!K157-[1]SADC!L157-L157,0)</f>
        <v>0</v>
      </c>
      <c r="N157" s="182">
        <f>+IF(L157+[1]SADC!L157-[1]SADC!K157-K157&gt;0,L157+[1]SADC!L157-[1]SADC!K157-K157,0)</f>
        <v>0</v>
      </c>
      <c r="O157" s="182">
        <f>+IF(M157+[1]SADC!M157-[1]SADC!N157-N157&gt;0,M157+[1]SADC!M157-[1]SADC!N157-N157,0)</f>
        <v>0</v>
      </c>
      <c r="P157" s="182">
        <f>+IF(N157+[1]SADC!N157-[1]SADC!M157-M157&gt;0,N157+[1]SADC!N157-[1]SADC!M157-M157,0)</f>
        <v>0</v>
      </c>
      <c r="Q157" s="182">
        <f>+IF(O157+[1]SADC!O157-[1]SADC!P157-P157&gt;0,O157+[1]SADC!O157-[1]SADC!P157-P157,0)</f>
        <v>0</v>
      </c>
      <c r="R157" s="182">
        <f>+IF(P157+[1]SADC!P157-[1]SADC!O157-O157&gt;0,P157+[1]SADC!P157-[1]SADC!O157-O157,0)</f>
        <v>0</v>
      </c>
      <c r="S157" s="182">
        <f>+IF(Q157+[1]SADC!Q157-[1]SADC!R157-R157&gt;0,Q157+[1]SADC!Q157-[1]SADC!R157-R157,0)</f>
        <v>0</v>
      </c>
      <c r="T157" s="182">
        <f>+IF(R157+[1]SADC!R157-[1]SADC!Q157-Q157&gt;0,R157+[1]SADC!R157-[1]SADC!Q157-Q157,0)</f>
        <v>0</v>
      </c>
      <c r="U157" s="182">
        <f>+IF(S157+[1]SADC!S157-[1]SADC!T157-T157&gt;0,S157+[1]SADC!S157-[1]SADC!T157-T157,0)</f>
        <v>0</v>
      </c>
      <c r="V157" s="182">
        <f>+IF(T157+[1]SADC!T157-[1]SADC!S157-S157&gt;0,T157+[1]SADC!T157-[1]SADC!S157-S157,0)</f>
        <v>0</v>
      </c>
      <c r="W157" s="182">
        <f>+IF(U157+[1]SADC!U157-[1]SADC!V157-V157&gt;0,U157+[1]SADC!U157-[1]SADC!V157-V157,0)</f>
        <v>0</v>
      </c>
      <c r="X157" s="182">
        <f>+IF(V157+[1]SADC!V157-[1]SADC!U157-U157&gt;0,V157+[1]SADC!V157-[1]SADC!U157-U157,0)</f>
        <v>0</v>
      </c>
      <c r="Y157" s="182">
        <f>+IF(W157+[1]SADC!W157-[1]SADC!X157-X157&gt;0,W157+[1]SADC!W157-[1]SADC!X157-X157,0)</f>
        <v>0</v>
      </c>
      <c r="Z157" s="182">
        <f>+IF(X157+[1]SADC!X157-[1]SADC!W157-W157&gt;0,X157+[1]SADC!X157-[1]SADC!W157-W157,0)</f>
        <v>0</v>
      </c>
      <c r="AA157" s="182">
        <f>+IF(Y157+[1]SADC!Y157-[1]SADC!Z157-Z157&gt;0,Y157+[1]SADC!Y157-[1]SADC!Z157-Z157,0)</f>
        <v>0</v>
      </c>
      <c r="AB157" s="182">
        <f>+IF(Z157+[1]SADC!Z157-[1]SADC!Y157-Y157&gt;0,Z157+[1]SADC!Z157-[1]SADC!Y157-Y157,0)</f>
        <v>0</v>
      </c>
      <c r="AC157" s="181"/>
      <c r="AD157" s="182">
        <f t="shared" si="2"/>
        <v>0</v>
      </c>
      <c r="AE157" s="182">
        <f t="shared" si="2"/>
        <v>0</v>
      </c>
      <c r="AF157" s="181"/>
    </row>
    <row r="158" spans="1:32">
      <c r="A158" s="181" t="str">
        <f>+VLOOKUP(B158,'[1]coa-mgb'!A$1:B$65536,2,0)</f>
        <v>Repairs and Maintenance - Other Machinery &amp; Equipment</v>
      </c>
      <c r="B158" s="184" t="s">
        <v>189</v>
      </c>
      <c r="C158" s="182">
        <f>+SUMIFS('[1]50213050 99'!$F$1:$F$65536,'[1]50213050 99'!$D$1:$D$65536,"Beginning Balance",'[1]50213050 99'!$D$1:$D$65536,"Beginning Balance")</f>
        <v>0</v>
      </c>
      <c r="D158" s="182">
        <f>+SUMIFS('[1]50213050 99'!$H$1:$H$65536,'[1]50213050 99'!$D$1:$D$65536,"Beginning Balance",'[1]50213050 99'!$D$1:$D$65536,"Beginning Balance")</f>
        <v>0</v>
      </c>
      <c r="E158" s="182">
        <f>+IF(C158+[1]SADC!C158-[1]SADC!D158-D158&gt;0,C158+[1]SADC!C158-[1]SADC!D158-D158,0)</f>
        <v>0</v>
      </c>
      <c r="F158" s="182">
        <f>+IF(D158+[1]SADC!D158-[1]SADC!C158-C158&gt;0,D158+[1]SADC!D158-[1]SADC!C158-C158,0)</f>
        <v>0</v>
      </c>
      <c r="G158" s="182">
        <f>+IF(E158+[1]SADC!E158-[1]SADC!F158-F158&gt;0,E158+[1]SADC!E158-[1]SADC!F158-F158,0)</f>
        <v>0</v>
      </c>
      <c r="H158" s="182">
        <f>+IF(F158+[1]SADC!F158-[1]SADC!E158-E158&gt;0,F158+[1]SADC!F158-[1]SADC!E158-E158,0)</f>
        <v>0</v>
      </c>
      <c r="I158" s="182">
        <f>+IF(G158+[1]SADC!G158-[1]SADC!H158-H158&gt;0,G158+[1]SADC!G158-[1]SADC!H158-H158,0)</f>
        <v>0</v>
      </c>
      <c r="J158" s="182">
        <f>+IF(H158+[1]SADC!H158-[1]SADC!G158-G158&gt;0,H158+[1]SADC!H158-[1]SADC!G158-G158,0)</f>
        <v>0</v>
      </c>
      <c r="K158" s="182">
        <f>+IF(I158+[1]SADC!I158-[1]SADC!J158-J158&gt;0,I158+[1]SADC!I158-[1]SADC!J158-J158,0)</f>
        <v>0</v>
      </c>
      <c r="L158" s="182">
        <f>+IF(J158+[1]SADC!J158-[1]SADC!I158-I158&gt;0,J158+[1]SADC!J158-[1]SADC!I158-I158,0)</f>
        <v>0</v>
      </c>
      <c r="M158" s="182">
        <f>+IF(K158+[1]SADC!K158-[1]SADC!L158-L158&gt;0,K158+[1]SADC!K158-[1]SADC!L158-L158,0)</f>
        <v>0</v>
      </c>
      <c r="N158" s="182">
        <f>+IF(L158+[1]SADC!L158-[1]SADC!K158-K158&gt;0,L158+[1]SADC!L158-[1]SADC!K158-K158,0)</f>
        <v>0</v>
      </c>
      <c r="O158" s="182">
        <f>+IF(M158+[1]SADC!M158-[1]SADC!N158-N158&gt;0,M158+[1]SADC!M158-[1]SADC!N158-N158,0)</f>
        <v>0</v>
      </c>
      <c r="P158" s="182">
        <f>+IF(N158+[1]SADC!N158-[1]SADC!M158-M158&gt;0,N158+[1]SADC!N158-[1]SADC!M158-M158,0)</f>
        <v>0</v>
      </c>
      <c r="Q158" s="182">
        <f>+IF(O158+[1]SADC!O158-[1]SADC!P158-P158&gt;0,O158+[1]SADC!O158-[1]SADC!P158-P158,0)</f>
        <v>0</v>
      </c>
      <c r="R158" s="182">
        <f>+IF(P158+[1]SADC!P158-[1]SADC!O158-O158&gt;0,P158+[1]SADC!P158-[1]SADC!O158-O158,0)</f>
        <v>0</v>
      </c>
      <c r="S158" s="182">
        <f>+IF(Q158+[1]SADC!Q158-[1]SADC!R158-R158&gt;0,Q158+[1]SADC!Q158-[1]SADC!R158-R158,0)</f>
        <v>0</v>
      </c>
      <c r="T158" s="182">
        <f>+IF(R158+[1]SADC!R158-[1]SADC!Q158-Q158&gt;0,R158+[1]SADC!R158-[1]SADC!Q158-Q158,0)</f>
        <v>0</v>
      </c>
      <c r="U158" s="182">
        <f>+IF(S158+[1]SADC!S158-[1]SADC!T158-T158&gt;0,S158+[1]SADC!S158-[1]SADC!T158-T158,0)</f>
        <v>0</v>
      </c>
      <c r="V158" s="182">
        <f>+IF(T158+[1]SADC!T158-[1]SADC!S158-S158&gt;0,T158+[1]SADC!T158-[1]SADC!S158-S158,0)</f>
        <v>0</v>
      </c>
      <c r="W158" s="182">
        <f>+IF(U158+[1]SADC!U158-[1]SADC!V158-V158&gt;0,U158+[1]SADC!U158-[1]SADC!V158-V158,0)</f>
        <v>0</v>
      </c>
      <c r="X158" s="182">
        <f>+IF(V158+[1]SADC!V158-[1]SADC!U158-U158&gt;0,V158+[1]SADC!V158-[1]SADC!U158-U158,0)</f>
        <v>0</v>
      </c>
      <c r="Y158" s="182">
        <f>+IF(W158+[1]SADC!W158-[1]SADC!X158-X158&gt;0,W158+[1]SADC!W158-[1]SADC!X158-X158,0)</f>
        <v>0</v>
      </c>
      <c r="Z158" s="182">
        <f>+IF(X158+[1]SADC!X158-[1]SADC!W158-W158&gt;0,X158+[1]SADC!X158-[1]SADC!W158-W158,0)</f>
        <v>0</v>
      </c>
      <c r="AA158" s="182">
        <f>+IF(Y158+[1]SADC!Y158-[1]SADC!Z158-Z158&gt;0,Y158+[1]SADC!Y158-[1]SADC!Z158-Z158,0)</f>
        <v>0</v>
      </c>
      <c r="AB158" s="182">
        <f>+IF(Z158+[1]SADC!Z158-[1]SADC!Y158-Y158&gt;0,Z158+[1]SADC!Z158-[1]SADC!Y158-Y158,0)</f>
        <v>0</v>
      </c>
      <c r="AC158" s="181"/>
      <c r="AD158" s="182">
        <f t="shared" si="2"/>
        <v>0</v>
      </c>
      <c r="AE158" s="182">
        <f t="shared" si="2"/>
        <v>0</v>
      </c>
      <c r="AF158" s="181"/>
    </row>
    <row r="159" spans="1:32">
      <c r="A159" s="181" t="str">
        <f>+VLOOKUP(B159,'[1]coa-mgb'!A$1:B$65536,2,0)</f>
        <v>Repairs and Maintenance - Motor Vehicles</v>
      </c>
      <c r="B159" s="184" t="s">
        <v>190</v>
      </c>
      <c r="C159" s="182">
        <f>+SUMIFS('[1]50213060 01'!$F$1:$F$65536,'[1]50213060 01'!$D$1:$D$65536,"Beginning Balance",'[1]50213060 01'!$D$1:$D$65536,"Beginning Balance")</f>
        <v>0</v>
      </c>
      <c r="D159" s="182">
        <f>+SUMIFS('[1]50213060 01'!$H$1:$H$65536,'[1]50213060 01'!$D$1:$D$65536,"Beginning Balance",'[1]50213060 01'!$D$1:$D$65536,"Beginning Balance")</f>
        <v>0</v>
      </c>
      <c r="E159" s="182">
        <f>+IF(C159+[1]SADC!C159-[1]SADC!D159-D159&gt;0,C159+[1]SADC!C159-[1]SADC!D159-D159,0)</f>
        <v>0</v>
      </c>
      <c r="F159" s="182">
        <f>+IF(D159+[1]SADC!D159-[1]SADC!C159-C159&gt;0,D159+[1]SADC!D159-[1]SADC!C159-C159,0)</f>
        <v>0</v>
      </c>
      <c r="G159" s="182">
        <f>+IF(E159+[1]SADC!E159-[1]SADC!F159-F159&gt;0,E159+[1]SADC!E159-[1]SADC!F159-F159,0)</f>
        <v>20881</v>
      </c>
      <c r="H159" s="182">
        <f>+IF(F159+[1]SADC!F159-[1]SADC!E159-E159&gt;0,F159+[1]SADC!F159-[1]SADC!E159-E159,0)</f>
        <v>0</v>
      </c>
      <c r="I159" s="182">
        <f>+IF(G159+[1]SADC!G159-[1]SADC!H159-H159&gt;0,G159+[1]SADC!G159-[1]SADC!H159-H159,0)</f>
        <v>21742.75</v>
      </c>
      <c r="J159" s="182">
        <f>+IF(H159+[1]SADC!H159-[1]SADC!G159-G159&gt;0,H159+[1]SADC!H159-[1]SADC!G159-G159,0)</f>
        <v>0</v>
      </c>
      <c r="K159" s="182">
        <f>+IF(I159+[1]SADC!I159-[1]SADC!J159-J159&gt;0,I159+[1]SADC!I159-[1]SADC!J159-J159,0)</f>
        <v>21742.75</v>
      </c>
      <c r="L159" s="182">
        <f>+IF(J159+[1]SADC!J159-[1]SADC!I159-I159&gt;0,J159+[1]SADC!J159-[1]SADC!I159-I159,0)</f>
        <v>0</v>
      </c>
      <c r="M159" s="182">
        <f>+IF(K159+[1]SADC!K159-[1]SADC!L159-L159&gt;0,K159+[1]SADC!K159-[1]SADC!L159-L159,0)</f>
        <v>21742.75</v>
      </c>
      <c r="N159" s="182">
        <f>+IF(L159+[1]SADC!L159-[1]SADC!K159-K159&gt;0,L159+[1]SADC!L159-[1]SADC!K159-K159,0)</f>
        <v>0</v>
      </c>
      <c r="O159" s="182">
        <f>+IF(M159+[1]SADC!M159-[1]SADC!N159-N159&gt;0,M159+[1]SADC!M159-[1]SADC!N159-N159,0)</f>
        <v>21742.75</v>
      </c>
      <c r="P159" s="182">
        <f>+IF(N159+[1]SADC!N159-[1]SADC!M159-M159&gt;0,N159+[1]SADC!N159-[1]SADC!M159-M159,0)</f>
        <v>0</v>
      </c>
      <c r="Q159" s="182">
        <f>+IF(O159+[1]SADC!O159-[1]SADC!P159-P159&gt;0,O159+[1]SADC!O159-[1]SADC!P159-P159,0)</f>
        <v>21742.75</v>
      </c>
      <c r="R159" s="182">
        <f>+IF(P159+[1]SADC!P159-[1]SADC!O159-O159&gt;0,P159+[1]SADC!P159-[1]SADC!O159-O159,0)</f>
        <v>0</v>
      </c>
      <c r="S159" s="182">
        <f>+IF(Q159+[1]SADC!Q159-[1]SADC!R159-R159&gt;0,Q159+[1]SADC!Q159-[1]SADC!R159-R159,0)</f>
        <v>21742.75</v>
      </c>
      <c r="T159" s="182">
        <f>+IF(R159+[1]SADC!R159-[1]SADC!Q159-Q159&gt;0,R159+[1]SADC!R159-[1]SADC!Q159-Q159,0)</f>
        <v>0</v>
      </c>
      <c r="U159" s="182">
        <f>+IF(S159+[1]SADC!S159-[1]SADC!T159-T159&gt;0,S159+[1]SADC!S159-[1]SADC!T159-T159,0)</f>
        <v>21742.75</v>
      </c>
      <c r="V159" s="182">
        <f>+IF(T159+[1]SADC!T159-[1]SADC!S159-S159&gt;0,T159+[1]SADC!T159-[1]SADC!S159-S159,0)</f>
        <v>0</v>
      </c>
      <c r="W159" s="182">
        <f>+IF(U159+[1]SADC!U159-[1]SADC!V159-V159&gt;0,U159+[1]SADC!U159-[1]SADC!V159-V159,0)</f>
        <v>21742.75</v>
      </c>
      <c r="X159" s="182">
        <f>+IF(V159+[1]SADC!V159-[1]SADC!U159-U159&gt;0,V159+[1]SADC!V159-[1]SADC!U159-U159,0)</f>
        <v>0</v>
      </c>
      <c r="Y159" s="182">
        <f>+IF(W159+[1]SADC!W159-[1]SADC!X159-X159&gt;0,W159+[1]SADC!W159-[1]SADC!X159-X159,0)</f>
        <v>21742.75</v>
      </c>
      <c r="Z159" s="182">
        <f>+IF(X159+[1]SADC!X159-[1]SADC!W159-W159&gt;0,X159+[1]SADC!X159-[1]SADC!W159-W159,0)</f>
        <v>0</v>
      </c>
      <c r="AA159" s="182">
        <f>+IF(Y159+[1]SADC!Y159-[1]SADC!Z159-Z159&gt;0,Y159+[1]SADC!Y159-[1]SADC!Z159-Z159,0)</f>
        <v>21742.75</v>
      </c>
      <c r="AB159" s="182">
        <f>+IF(Z159+[1]SADC!Z159-[1]SADC!Y159-Y159&gt;0,Z159+[1]SADC!Z159-[1]SADC!Y159-Y159,0)</f>
        <v>0</v>
      </c>
      <c r="AC159" s="181"/>
      <c r="AD159" s="182">
        <f t="shared" si="2"/>
        <v>21742.75</v>
      </c>
      <c r="AE159" s="182">
        <f t="shared" si="2"/>
        <v>0</v>
      </c>
      <c r="AF159" s="181"/>
    </row>
    <row r="160" spans="1:32">
      <c r="A160" s="181" t="str">
        <f>+VLOOKUP(B160,'[1]coa-mgb'!A$1:B$65536,2,0)</f>
        <v>Repairs and Maintenance - Furniture and Fixtures</v>
      </c>
      <c r="B160" s="184" t="s">
        <v>192</v>
      </c>
      <c r="C160" s="182">
        <f>+SUMIFS('[1]50213080 01'!$F$1:$F$65536,'[1]50213080 01'!$D$1:$D$65536,"Beginning Balance",'[1]50213080 01'!$D$1:$D$65536,"Beginning Balance")</f>
        <v>0</v>
      </c>
      <c r="D160" s="182">
        <f>+SUMIFS('[1]50213080 01'!$H$1:$H$65536,'[1]50213080 01'!$D$1:$D$65536,"Beginning Balance",'[1]50213080 01'!$D$1:$D$65536,"Beginning Balance")</f>
        <v>0</v>
      </c>
      <c r="E160" s="182">
        <f>+IF(C160+[1]SADC!C160-[1]SADC!D160-D160&gt;0,C160+[1]SADC!C160-[1]SADC!D160-D160,0)</f>
        <v>0</v>
      </c>
      <c r="F160" s="182">
        <f>+IF(D160+[1]SADC!D160-[1]SADC!C160-C160&gt;0,D160+[1]SADC!D160-[1]SADC!C160-C160,0)</f>
        <v>0</v>
      </c>
      <c r="G160" s="182">
        <f>+IF(E160+[1]SADC!E160-[1]SADC!F160-F160&gt;0,E160+[1]SADC!E160-[1]SADC!F160-F160,0)</f>
        <v>0</v>
      </c>
      <c r="H160" s="182">
        <f>+IF(F160+[1]SADC!F160-[1]SADC!E160-E160&gt;0,F160+[1]SADC!F160-[1]SADC!E160-E160,0)</f>
        <v>0</v>
      </c>
      <c r="I160" s="182">
        <f>+IF(G160+[1]SADC!G160-[1]SADC!H160-H160&gt;0,G160+[1]SADC!G160-[1]SADC!H160-H160,0)</f>
        <v>0</v>
      </c>
      <c r="J160" s="182">
        <f>+IF(H160+[1]SADC!H160-[1]SADC!G160-G160&gt;0,H160+[1]SADC!H160-[1]SADC!G160-G160,0)</f>
        <v>0</v>
      </c>
      <c r="K160" s="182">
        <f>+IF(I160+[1]SADC!I160-[1]SADC!J160-J160&gt;0,I160+[1]SADC!I160-[1]SADC!J160-J160,0)</f>
        <v>0</v>
      </c>
      <c r="L160" s="182">
        <f>+IF(J160+[1]SADC!J160-[1]SADC!I160-I160&gt;0,J160+[1]SADC!J160-[1]SADC!I160-I160,0)</f>
        <v>0</v>
      </c>
      <c r="M160" s="182">
        <f>+IF(K160+[1]SADC!K160-[1]SADC!L160-L160&gt;0,K160+[1]SADC!K160-[1]SADC!L160-L160,0)</f>
        <v>0</v>
      </c>
      <c r="N160" s="182">
        <f>+IF(L160+[1]SADC!L160-[1]SADC!K160-K160&gt;0,L160+[1]SADC!L160-[1]SADC!K160-K160,0)</f>
        <v>0</v>
      </c>
      <c r="O160" s="182">
        <f>+IF(M160+[1]SADC!M160-[1]SADC!N160-N160&gt;0,M160+[1]SADC!M160-[1]SADC!N160-N160,0)</f>
        <v>0</v>
      </c>
      <c r="P160" s="182">
        <f>+IF(N160+[1]SADC!N160-[1]SADC!M160-M160&gt;0,N160+[1]SADC!N160-[1]SADC!M160-M160,0)</f>
        <v>0</v>
      </c>
      <c r="Q160" s="182">
        <f>+IF(O160+[1]SADC!O160-[1]SADC!P160-P160&gt;0,O160+[1]SADC!O160-[1]SADC!P160-P160,0)</f>
        <v>0</v>
      </c>
      <c r="R160" s="182">
        <f>+IF(P160+[1]SADC!P160-[1]SADC!O160-O160&gt;0,P160+[1]SADC!P160-[1]SADC!O160-O160,0)</f>
        <v>0</v>
      </c>
      <c r="S160" s="182">
        <f>+IF(Q160+[1]SADC!Q160-[1]SADC!R160-R160&gt;0,Q160+[1]SADC!Q160-[1]SADC!R160-R160,0)</f>
        <v>0</v>
      </c>
      <c r="T160" s="182">
        <f>+IF(R160+[1]SADC!R160-[1]SADC!Q160-Q160&gt;0,R160+[1]SADC!R160-[1]SADC!Q160-Q160,0)</f>
        <v>0</v>
      </c>
      <c r="U160" s="182">
        <f>+IF(S160+[1]SADC!S160-[1]SADC!T160-T160&gt;0,S160+[1]SADC!S160-[1]SADC!T160-T160,0)</f>
        <v>0</v>
      </c>
      <c r="V160" s="182">
        <f>+IF(T160+[1]SADC!T160-[1]SADC!S160-S160&gt;0,T160+[1]SADC!T160-[1]SADC!S160-S160,0)</f>
        <v>0</v>
      </c>
      <c r="W160" s="182">
        <f>+IF(U160+[1]SADC!U160-[1]SADC!V160-V160&gt;0,U160+[1]SADC!U160-[1]SADC!V160-V160,0)</f>
        <v>0</v>
      </c>
      <c r="X160" s="182">
        <f>+IF(V160+[1]SADC!V160-[1]SADC!U160-U160&gt;0,V160+[1]SADC!V160-[1]SADC!U160-U160,0)</f>
        <v>0</v>
      </c>
      <c r="Y160" s="182">
        <f>+IF(W160+[1]SADC!W160-[1]SADC!X160-X160&gt;0,W160+[1]SADC!W160-[1]SADC!X160-X160,0)</f>
        <v>0</v>
      </c>
      <c r="Z160" s="182">
        <f>+IF(X160+[1]SADC!X160-[1]SADC!W160-W160&gt;0,X160+[1]SADC!X160-[1]SADC!W160-W160,0)</f>
        <v>0</v>
      </c>
      <c r="AA160" s="182">
        <f>+IF(Y160+[1]SADC!Y160-[1]SADC!Z160-Z160&gt;0,Y160+[1]SADC!Y160-[1]SADC!Z160-Z160,0)</f>
        <v>0</v>
      </c>
      <c r="AB160" s="182">
        <f>+IF(Z160+[1]SADC!Z160-[1]SADC!Y160-Y160&gt;0,Z160+[1]SADC!Z160-[1]SADC!Y160-Y160,0)</f>
        <v>0</v>
      </c>
      <c r="AC160" s="181"/>
      <c r="AD160" s="182">
        <f t="shared" si="2"/>
        <v>0</v>
      </c>
      <c r="AE160" s="182">
        <f t="shared" si="2"/>
        <v>0</v>
      </c>
      <c r="AF160" s="181"/>
    </row>
    <row r="161" spans="1:32">
      <c r="A161" s="181" t="str">
        <f>+VLOOKUP(B161,'[1]coa-mgb'!A$1:B$65536,2,0)</f>
        <v>Repairs and Maintenance - Leased Assets Improvements</v>
      </c>
      <c r="B161" s="184" t="s">
        <v>193</v>
      </c>
      <c r="C161" s="182">
        <f>+SUMIFS('[1]50213990 00'!$F$1:$F$65536,'[1]50213990 00'!$D$1:$D$65536,"Beginning Balance",'[1]50213990 00'!$D$1:$D$65536,"Beginning Balance")</f>
        <v>0</v>
      </c>
      <c r="D161" s="182">
        <f>+SUMIFS('[1]50213990 00'!$H$1:$H$65536,'[1]50213990 00'!$D$1:$D$65536,"Beginning Balance",'[1]50213990 00'!$D$1:$D$65536,"Beginning Balance")</f>
        <v>0</v>
      </c>
      <c r="E161" s="182">
        <f>+IF(C161+[1]SADC!C161-[1]SADC!D161-D161&gt;0,C161+[1]SADC!C161-[1]SADC!D161-D161,0)</f>
        <v>0</v>
      </c>
      <c r="F161" s="182">
        <f>+IF(D161+[1]SADC!D161-[1]SADC!C161-C161&gt;0,D161+[1]SADC!D161-[1]SADC!C161-C161,0)</f>
        <v>0</v>
      </c>
      <c r="G161" s="182">
        <f>+IF(E161+[1]SADC!E161-[1]SADC!F161-F161&gt;0,E161+[1]SADC!E161-[1]SADC!F161-F161,0)</f>
        <v>0</v>
      </c>
      <c r="H161" s="182">
        <f>+IF(F161+[1]SADC!F161-[1]SADC!E161-E161&gt;0,F161+[1]SADC!F161-[1]SADC!E161-E161,0)</f>
        <v>0</v>
      </c>
      <c r="I161" s="182">
        <f>+IF(G161+[1]SADC!G161-[1]SADC!H161-H161&gt;0,G161+[1]SADC!G161-[1]SADC!H161-H161,0)</f>
        <v>0</v>
      </c>
      <c r="J161" s="182">
        <f>+IF(H161+[1]SADC!H161-[1]SADC!G161-G161&gt;0,H161+[1]SADC!H161-[1]SADC!G161-G161,0)</f>
        <v>0</v>
      </c>
      <c r="K161" s="182">
        <f>+IF(I161+[1]SADC!I161-[1]SADC!J161-J161&gt;0,I161+[1]SADC!I161-[1]SADC!J161-J161,0)</f>
        <v>0</v>
      </c>
      <c r="L161" s="182">
        <f>+IF(J161+[1]SADC!J161-[1]SADC!I161-I161&gt;0,J161+[1]SADC!J161-[1]SADC!I161-I161,0)</f>
        <v>0</v>
      </c>
      <c r="M161" s="182">
        <f>+IF(K161+[1]SADC!K161-[1]SADC!L161-L161&gt;0,K161+[1]SADC!K161-[1]SADC!L161-L161,0)</f>
        <v>0</v>
      </c>
      <c r="N161" s="182">
        <f>+IF(L161+[1]SADC!L161-[1]SADC!K161-K161&gt;0,L161+[1]SADC!L161-[1]SADC!K161-K161,0)</f>
        <v>0</v>
      </c>
      <c r="O161" s="182">
        <f>+IF(M161+[1]SADC!M161-[1]SADC!N161-N161&gt;0,M161+[1]SADC!M161-[1]SADC!N161-N161,0)</f>
        <v>0</v>
      </c>
      <c r="P161" s="182">
        <f>+IF(N161+[1]SADC!N161-[1]SADC!M161-M161&gt;0,N161+[1]SADC!N161-[1]SADC!M161-M161,0)</f>
        <v>0</v>
      </c>
      <c r="Q161" s="182">
        <f>+IF(O161+[1]SADC!O161-[1]SADC!P161-P161&gt;0,O161+[1]SADC!O161-[1]SADC!P161-P161,0)</f>
        <v>0</v>
      </c>
      <c r="R161" s="182">
        <f>+IF(P161+[1]SADC!P161-[1]SADC!O161-O161&gt;0,P161+[1]SADC!P161-[1]SADC!O161-O161,0)</f>
        <v>0</v>
      </c>
      <c r="S161" s="182">
        <f>+IF(Q161+[1]SADC!Q161-[1]SADC!R161-R161&gt;0,Q161+[1]SADC!Q161-[1]SADC!R161-R161,0)</f>
        <v>0</v>
      </c>
      <c r="T161" s="182">
        <f>+IF(R161+[1]SADC!R161-[1]SADC!Q161-Q161&gt;0,R161+[1]SADC!R161-[1]SADC!Q161-Q161,0)</f>
        <v>0</v>
      </c>
      <c r="U161" s="182">
        <f>+IF(S161+[1]SADC!S161-[1]SADC!T161-T161&gt;0,S161+[1]SADC!S161-[1]SADC!T161-T161,0)</f>
        <v>0</v>
      </c>
      <c r="V161" s="182">
        <f>+IF(T161+[1]SADC!T161-[1]SADC!S161-S161&gt;0,T161+[1]SADC!T161-[1]SADC!S161-S161,0)</f>
        <v>0</v>
      </c>
      <c r="W161" s="182">
        <f>+IF(U161+[1]SADC!U161-[1]SADC!V161-V161&gt;0,U161+[1]SADC!U161-[1]SADC!V161-V161,0)</f>
        <v>0</v>
      </c>
      <c r="X161" s="182">
        <f>+IF(V161+[1]SADC!V161-[1]SADC!U161-U161&gt;0,V161+[1]SADC!V161-[1]SADC!U161-U161,0)</f>
        <v>0</v>
      </c>
      <c r="Y161" s="182">
        <f>+IF(W161+[1]SADC!W161-[1]SADC!X161-X161&gt;0,W161+[1]SADC!W161-[1]SADC!X161-X161,0)</f>
        <v>0</v>
      </c>
      <c r="Z161" s="182">
        <f>+IF(X161+[1]SADC!X161-[1]SADC!W161-W161&gt;0,X161+[1]SADC!X161-[1]SADC!W161-W161,0)</f>
        <v>0</v>
      </c>
      <c r="AA161" s="182">
        <f>+IF(Y161+[1]SADC!Y161-[1]SADC!Z161-Z161&gt;0,Y161+[1]SADC!Y161-[1]SADC!Z161-Z161,0)</f>
        <v>0</v>
      </c>
      <c r="AB161" s="182">
        <f>+IF(Z161+[1]SADC!Z161-[1]SADC!Y161-Y161&gt;0,Z161+[1]SADC!Z161-[1]SADC!Y161-Y161,0)</f>
        <v>0</v>
      </c>
      <c r="AC161" s="181"/>
      <c r="AD161" s="182">
        <f t="shared" si="2"/>
        <v>0</v>
      </c>
      <c r="AE161" s="182">
        <f t="shared" si="2"/>
        <v>0</v>
      </c>
      <c r="AF161" s="181"/>
    </row>
    <row r="162" spans="1:32">
      <c r="A162" s="181" t="str">
        <f>+VLOOKUP(B162,'[1]coa-mgb'!A$1:B$65536,2,0)</f>
        <v>Repairs and Maintenance - Other Property, Plant and Equipment</v>
      </c>
      <c r="B162" s="184" t="s">
        <v>194</v>
      </c>
      <c r="C162" s="182">
        <f>+SUMIFS('[1]50213990 99'!$F$1:$F$65536,'[1]50213990 99'!$D$1:$D$65536,"Beginning Balance",'[1]50213990 99'!$D$1:$D$65536,"Beginning Balance")</f>
        <v>0</v>
      </c>
      <c r="D162" s="182">
        <f>+SUMIFS('[1]50213990 99'!$H$1:$H$65536,'[1]50213990 99'!$D$1:$D$65536,"Beginning Balance",'[1]50213990 99'!$D$1:$D$65536,"Beginning Balance")</f>
        <v>0</v>
      </c>
      <c r="E162" s="182">
        <f>+IF(C162+[1]SADC!C162-[1]SADC!D162-D162&gt;0,C162+[1]SADC!C162-[1]SADC!D162-D162,0)</f>
        <v>0</v>
      </c>
      <c r="F162" s="182">
        <f>+IF(D162+[1]SADC!D162-[1]SADC!C162-C162&gt;0,D162+[1]SADC!D162-[1]SADC!C162-C162,0)</f>
        <v>0</v>
      </c>
      <c r="G162" s="182">
        <f>+IF(E162+[1]SADC!E162-[1]SADC!F162-F162&gt;0,E162+[1]SADC!E162-[1]SADC!F162-F162,0)</f>
        <v>0</v>
      </c>
      <c r="H162" s="182">
        <f>+IF(F162+[1]SADC!F162-[1]SADC!E162-E162&gt;0,F162+[1]SADC!F162-[1]SADC!E162-E162,0)</f>
        <v>0</v>
      </c>
      <c r="I162" s="182">
        <f>+IF(G162+[1]SADC!G162-[1]SADC!H162-H162&gt;0,G162+[1]SADC!G162-[1]SADC!H162-H162,0)</f>
        <v>0</v>
      </c>
      <c r="J162" s="182">
        <f>+IF(H162+[1]SADC!H162-[1]SADC!G162-G162&gt;0,H162+[1]SADC!H162-[1]SADC!G162-G162,0)</f>
        <v>0</v>
      </c>
      <c r="K162" s="182">
        <f>+IF(I162+[1]SADC!I162-[1]SADC!J162-J162&gt;0,I162+[1]SADC!I162-[1]SADC!J162-J162,0)</f>
        <v>0</v>
      </c>
      <c r="L162" s="182">
        <f>+IF(J162+[1]SADC!J162-[1]SADC!I162-I162&gt;0,J162+[1]SADC!J162-[1]SADC!I162-I162,0)</f>
        <v>0</v>
      </c>
      <c r="M162" s="182">
        <f>+IF(K162+[1]SADC!K162-[1]SADC!L162-L162&gt;0,K162+[1]SADC!K162-[1]SADC!L162-L162,0)</f>
        <v>0</v>
      </c>
      <c r="N162" s="182">
        <f>+IF(L162+[1]SADC!L162-[1]SADC!K162-K162&gt;0,L162+[1]SADC!L162-[1]SADC!K162-K162,0)</f>
        <v>0</v>
      </c>
      <c r="O162" s="182">
        <f>+IF(M162+[1]SADC!M162-[1]SADC!N162-N162&gt;0,M162+[1]SADC!M162-[1]SADC!N162-N162,0)</f>
        <v>0</v>
      </c>
      <c r="P162" s="182">
        <f>+IF(N162+[1]SADC!N162-[1]SADC!M162-M162&gt;0,N162+[1]SADC!N162-[1]SADC!M162-M162,0)</f>
        <v>0</v>
      </c>
      <c r="Q162" s="182">
        <f>+IF(O162+[1]SADC!O162-[1]SADC!P162-P162&gt;0,O162+[1]SADC!O162-[1]SADC!P162-P162,0)</f>
        <v>0</v>
      </c>
      <c r="R162" s="182">
        <f>+IF(P162+[1]SADC!P162-[1]SADC!O162-O162&gt;0,P162+[1]SADC!P162-[1]SADC!O162-O162,0)</f>
        <v>0</v>
      </c>
      <c r="S162" s="182">
        <f>+IF(Q162+[1]SADC!Q162-[1]SADC!R162-R162&gt;0,Q162+[1]SADC!Q162-[1]SADC!R162-R162,0)</f>
        <v>0</v>
      </c>
      <c r="T162" s="182">
        <f>+IF(R162+[1]SADC!R162-[1]SADC!Q162-Q162&gt;0,R162+[1]SADC!R162-[1]SADC!Q162-Q162,0)</f>
        <v>0</v>
      </c>
      <c r="U162" s="182">
        <f>+IF(S162+[1]SADC!S162-[1]SADC!T162-T162&gt;0,S162+[1]SADC!S162-[1]SADC!T162-T162,0)</f>
        <v>0</v>
      </c>
      <c r="V162" s="182">
        <f>+IF(T162+[1]SADC!T162-[1]SADC!S162-S162&gt;0,T162+[1]SADC!T162-[1]SADC!S162-S162,0)</f>
        <v>0</v>
      </c>
      <c r="W162" s="182">
        <f>+IF(U162+[1]SADC!U162-[1]SADC!V162-V162&gt;0,U162+[1]SADC!U162-[1]SADC!V162-V162,0)</f>
        <v>0</v>
      </c>
      <c r="X162" s="182">
        <f>+IF(V162+[1]SADC!V162-[1]SADC!U162-U162&gt;0,V162+[1]SADC!V162-[1]SADC!U162-U162,0)</f>
        <v>0</v>
      </c>
      <c r="Y162" s="182">
        <f>+IF(W162+[1]SADC!W162-[1]SADC!X162-X162&gt;0,W162+[1]SADC!W162-[1]SADC!X162-X162,0)</f>
        <v>0</v>
      </c>
      <c r="Z162" s="182">
        <f>+IF(X162+[1]SADC!X162-[1]SADC!W162-W162&gt;0,X162+[1]SADC!X162-[1]SADC!W162-W162,0)</f>
        <v>0</v>
      </c>
      <c r="AA162" s="182">
        <f>+IF(Y162+[1]SADC!Y162-[1]SADC!Z162-Z162&gt;0,Y162+[1]SADC!Y162-[1]SADC!Z162-Z162,0)</f>
        <v>0</v>
      </c>
      <c r="AB162" s="182">
        <f>+IF(Z162+[1]SADC!Z162-[1]SADC!Y162-Y162&gt;0,Z162+[1]SADC!Z162-[1]SADC!Y162-Y162,0)</f>
        <v>0</v>
      </c>
      <c r="AC162" s="181"/>
      <c r="AD162" s="182">
        <f t="shared" si="2"/>
        <v>0</v>
      </c>
      <c r="AE162" s="182">
        <f t="shared" si="2"/>
        <v>0</v>
      </c>
      <c r="AF162" s="181"/>
    </row>
    <row r="163" spans="1:32">
      <c r="A163" s="181" t="str">
        <f>+VLOOKUP(B163,'[1]coa-mgb'!A$1:B$65536,2,0)</f>
        <v>Taxes,Duties and Licenses</v>
      </c>
      <c r="B163" s="184" t="s">
        <v>197</v>
      </c>
      <c r="C163" s="182">
        <f>+SUMIFS('[1]50215010 00'!$F$1:$F$65536,'[1]50215010 00'!$D$1:$D$65536,"Beginning Balance",'[1]50215010 00'!$D$1:$D$65536,"Beginning Balance")</f>
        <v>0</v>
      </c>
      <c r="D163" s="182">
        <f>+SUMIFS('[1]50215010 00'!$H$1:$H$65536,'[1]50215010 00'!$D$1:$D$65536,"Beginning Balance",'[1]50215010 00'!$D$1:$D$65536,"Beginning Balance")</f>
        <v>0</v>
      </c>
      <c r="E163" s="182">
        <f>+IF(C163+[1]SADC!C163-[1]SADC!D163-D163&gt;0,C163+[1]SADC!C163-[1]SADC!D163-D163,0)</f>
        <v>0</v>
      </c>
      <c r="F163" s="182">
        <f>+IF(D163+[1]SADC!D163-[1]SADC!C163-C163&gt;0,D163+[1]SADC!D163-[1]SADC!C163-C163,0)</f>
        <v>0</v>
      </c>
      <c r="G163" s="182">
        <f>+IF(E163+[1]SADC!E163-[1]SADC!F163-F163&gt;0,E163+[1]SADC!E163-[1]SADC!F163-F163,0)</f>
        <v>0</v>
      </c>
      <c r="H163" s="182">
        <f>+IF(F163+[1]SADC!F163-[1]SADC!E163-E163&gt;0,F163+[1]SADC!F163-[1]SADC!E163-E163,0)</f>
        <v>0</v>
      </c>
      <c r="I163" s="182">
        <f>+IF(G163+[1]SADC!G163-[1]SADC!H163-H163&gt;0,G163+[1]SADC!G163-[1]SADC!H163-H163,0)</f>
        <v>0</v>
      </c>
      <c r="J163" s="182">
        <f>+IF(H163+[1]SADC!H163-[1]SADC!G163-G163&gt;0,H163+[1]SADC!H163-[1]SADC!G163-G163,0)</f>
        <v>0</v>
      </c>
      <c r="K163" s="182">
        <f>+IF(I163+[1]SADC!I163-[1]SADC!J163-J163&gt;0,I163+[1]SADC!I163-[1]SADC!J163-J163,0)</f>
        <v>0</v>
      </c>
      <c r="L163" s="182">
        <f>+IF(J163+[1]SADC!J163-[1]SADC!I163-I163&gt;0,J163+[1]SADC!J163-[1]SADC!I163-I163,0)</f>
        <v>0</v>
      </c>
      <c r="M163" s="182">
        <f>+IF(K163+[1]SADC!K163-[1]SADC!L163-L163&gt;0,K163+[1]SADC!K163-[1]SADC!L163-L163,0)</f>
        <v>0</v>
      </c>
      <c r="N163" s="182">
        <f>+IF(L163+[1]SADC!L163-[1]SADC!K163-K163&gt;0,L163+[1]SADC!L163-[1]SADC!K163-K163,0)</f>
        <v>0</v>
      </c>
      <c r="O163" s="182">
        <f>+IF(M163+[1]SADC!M163-[1]SADC!N163-N163&gt;0,M163+[1]SADC!M163-[1]SADC!N163-N163,0)</f>
        <v>0</v>
      </c>
      <c r="P163" s="182">
        <f>+IF(N163+[1]SADC!N163-[1]SADC!M163-M163&gt;0,N163+[1]SADC!N163-[1]SADC!M163-M163,0)</f>
        <v>0</v>
      </c>
      <c r="Q163" s="182">
        <f>+IF(O163+[1]SADC!O163-[1]SADC!P163-P163&gt;0,O163+[1]SADC!O163-[1]SADC!P163-P163,0)</f>
        <v>0</v>
      </c>
      <c r="R163" s="182">
        <f>+IF(P163+[1]SADC!P163-[1]SADC!O163-O163&gt;0,P163+[1]SADC!P163-[1]SADC!O163-O163,0)</f>
        <v>0</v>
      </c>
      <c r="S163" s="182">
        <f>+IF(Q163+[1]SADC!Q163-[1]SADC!R163-R163&gt;0,Q163+[1]SADC!Q163-[1]SADC!R163-R163,0)</f>
        <v>0</v>
      </c>
      <c r="T163" s="182">
        <f>+IF(R163+[1]SADC!R163-[1]SADC!Q163-Q163&gt;0,R163+[1]SADC!R163-[1]SADC!Q163-Q163,0)</f>
        <v>0</v>
      </c>
      <c r="U163" s="182">
        <f>+IF(S163+[1]SADC!S163-[1]SADC!T163-T163&gt;0,S163+[1]SADC!S163-[1]SADC!T163-T163,0)</f>
        <v>0</v>
      </c>
      <c r="V163" s="182">
        <f>+IF(T163+[1]SADC!T163-[1]SADC!S163-S163&gt;0,T163+[1]SADC!T163-[1]SADC!S163-S163,0)</f>
        <v>0</v>
      </c>
      <c r="W163" s="182">
        <f>+IF(U163+[1]SADC!U163-[1]SADC!V163-V163&gt;0,U163+[1]SADC!U163-[1]SADC!V163-V163,0)</f>
        <v>0</v>
      </c>
      <c r="X163" s="182">
        <f>+IF(V163+[1]SADC!V163-[1]SADC!U163-U163&gt;0,V163+[1]SADC!V163-[1]SADC!U163-U163,0)</f>
        <v>0</v>
      </c>
      <c r="Y163" s="182">
        <f>+IF(W163+[1]SADC!W163-[1]SADC!X163-X163&gt;0,W163+[1]SADC!W163-[1]SADC!X163-X163,0)</f>
        <v>0</v>
      </c>
      <c r="Z163" s="182">
        <f>+IF(X163+[1]SADC!X163-[1]SADC!W163-W163&gt;0,X163+[1]SADC!X163-[1]SADC!W163-W163,0)</f>
        <v>0</v>
      </c>
      <c r="AA163" s="182">
        <f>+IF(Y163+[1]SADC!Y163-[1]SADC!Z163-Z163&gt;0,Y163+[1]SADC!Y163-[1]SADC!Z163-Z163,0)</f>
        <v>0</v>
      </c>
      <c r="AB163" s="182">
        <f>+IF(Z163+[1]SADC!Z163-[1]SADC!Y163-Y163&gt;0,Z163+[1]SADC!Z163-[1]SADC!Y163-Y163,0)</f>
        <v>0</v>
      </c>
      <c r="AC163" s="181"/>
      <c r="AD163" s="182">
        <f t="shared" si="2"/>
        <v>0</v>
      </c>
      <c r="AE163" s="182">
        <f t="shared" si="2"/>
        <v>0</v>
      </c>
      <c r="AF163" s="181"/>
    </row>
    <row r="164" spans="1:32">
      <c r="A164" s="181" t="str">
        <f>+VLOOKUP(B164,'[1]coa-mgb'!A$1:B$65536,2,0)</f>
        <v>Fidelity Bond Premiums</v>
      </c>
      <c r="B164" s="184" t="s">
        <v>198</v>
      </c>
      <c r="C164" s="182">
        <f>+SUMIFS('[1]50215020 00'!$F$1:$F$65536,'[1]50215020 00'!$D$1:$D$65536,"Beginning Balance",'[1]50215020 00'!$D$1:$D$65536,"Beginning Balance")</f>
        <v>0</v>
      </c>
      <c r="D164" s="182">
        <f>+SUMIFS('[1]50215020 00'!$H$1:$H$65536,'[1]50215020 00'!$D$1:$D$65536,"Beginning Balance",'[1]50215020 00'!$D$1:$D$65536,"Beginning Balance")</f>
        <v>0</v>
      </c>
      <c r="E164" s="182">
        <f>+IF(C164+[1]SADC!C164-[1]SADC!D164-D164&gt;0,C164+[1]SADC!C164-[1]SADC!D164-D164,0)</f>
        <v>2428.61</v>
      </c>
      <c r="F164" s="182">
        <f>+IF(D164+[1]SADC!D164-[1]SADC!C164-C164&gt;0,D164+[1]SADC!D164-[1]SADC!C164-C164,0)</f>
        <v>0</v>
      </c>
      <c r="G164" s="182">
        <f>+IF(E164+[1]SADC!E164-[1]SADC!F164-F164&gt;0,E164+[1]SADC!E164-[1]SADC!F164-F164,0)</f>
        <v>5129.0200000000004</v>
      </c>
      <c r="H164" s="182">
        <f>+IF(F164+[1]SADC!F164-[1]SADC!E164-E164&gt;0,F164+[1]SADC!F164-[1]SADC!E164-E164,0)</f>
        <v>0</v>
      </c>
      <c r="I164" s="182">
        <f>+IF(G164+[1]SADC!G164-[1]SADC!H164-H164&gt;0,G164+[1]SADC!G164-[1]SADC!H164-H164,0)</f>
        <v>8187.5400000000009</v>
      </c>
      <c r="J164" s="182">
        <f>+IF(H164+[1]SADC!H164-[1]SADC!G164-G164&gt;0,H164+[1]SADC!H164-[1]SADC!G164-G164,0)</f>
        <v>0</v>
      </c>
      <c r="K164" s="182">
        <f>+IF(I164+[1]SADC!I164-[1]SADC!J164-J164&gt;0,I164+[1]SADC!I164-[1]SADC!J164-J164,0)</f>
        <v>8187.5400000000009</v>
      </c>
      <c r="L164" s="182">
        <f>+IF(J164+[1]SADC!J164-[1]SADC!I164-I164&gt;0,J164+[1]SADC!J164-[1]SADC!I164-I164,0)</f>
        <v>0</v>
      </c>
      <c r="M164" s="182">
        <f>+IF(K164+[1]SADC!K164-[1]SADC!L164-L164&gt;0,K164+[1]SADC!K164-[1]SADC!L164-L164,0)</f>
        <v>8187.5400000000009</v>
      </c>
      <c r="N164" s="182">
        <f>+IF(L164+[1]SADC!L164-[1]SADC!K164-K164&gt;0,L164+[1]SADC!L164-[1]SADC!K164-K164,0)</f>
        <v>0</v>
      </c>
      <c r="O164" s="182">
        <f>+IF(M164+[1]SADC!M164-[1]SADC!N164-N164&gt;0,M164+[1]SADC!M164-[1]SADC!N164-N164,0)</f>
        <v>8187.5400000000009</v>
      </c>
      <c r="P164" s="182">
        <f>+IF(N164+[1]SADC!N164-[1]SADC!M164-M164&gt;0,N164+[1]SADC!N164-[1]SADC!M164-M164,0)</f>
        <v>0</v>
      </c>
      <c r="Q164" s="182">
        <f>+IF(O164+[1]SADC!O164-[1]SADC!P164-P164&gt;0,O164+[1]SADC!O164-[1]SADC!P164-P164,0)</f>
        <v>8187.5400000000009</v>
      </c>
      <c r="R164" s="182">
        <f>+IF(P164+[1]SADC!P164-[1]SADC!O164-O164&gt;0,P164+[1]SADC!P164-[1]SADC!O164-O164,0)</f>
        <v>0</v>
      </c>
      <c r="S164" s="182">
        <f>+IF(Q164+[1]SADC!Q164-[1]SADC!R164-R164&gt;0,Q164+[1]SADC!Q164-[1]SADC!R164-R164,0)</f>
        <v>8187.5400000000009</v>
      </c>
      <c r="T164" s="182">
        <f>+IF(R164+[1]SADC!R164-[1]SADC!Q164-Q164&gt;0,R164+[1]SADC!R164-[1]SADC!Q164-Q164,0)</f>
        <v>0</v>
      </c>
      <c r="U164" s="182">
        <f>+IF(S164+[1]SADC!S164-[1]SADC!T164-T164&gt;0,S164+[1]SADC!S164-[1]SADC!T164-T164,0)</f>
        <v>8187.5400000000009</v>
      </c>
      <c r="V164" s="182">
        <f>+IF(T164+[1]SADC!T164-[1]SADC!S164-S164&gt;0,T164+[1]SADC!T164-[1]SADC!S164-S164,0)</f>
        <v>0</v>
      </c>
      <c r="W164" s="182">
        <f>+IF(U164+[1]SADC!U164-[1]SADC!V164-V164&gt;0,U164+[1]SADC!U164-[1]SADC!V164-V164,0)</f>
        <v>8187.5400000000009</v>
      </c>
      <c r="X164" s="182">
        <f>+IF(V164+[1]SADC!V164-[1]SADC!U164-U164&gt;0,V164+[1]SADC!V164-[1]SADC!U164-U164,0)</f>
        <v>0</v>
      </c>
      <c r="Y164" s="182">
        <f>+IF(W164+[1]SADC!W164-[1]SADC!X164-X164&gt;0,W164+[1]SADC!W164-[1]SADC!X164-X164,0)</f>
        <v>8187.5400000000009</v>
      </c>
      <c r="Z164" s="182">
        <f>+IF(X164+[1]SADC!X164-[1]SADC!W164-W164&gt;0,X164+[1]SADC!X164-[1]SADC!W164-W164,0)</f>
        <v>0</v>
      </c>
      <c r="AA164" s="182">
        <f>+IF(Y164+[1]SADC!Y164-[1]SADC!Z164-Z164&gt;0,Y164+[1]SADC!Y164-[1]SADC!Z164-Z164,0)</f>
        <v>8187.5400000000009</v>
      </c>
      <c r="AB164" s="182">
        <f>+IF(Z164+[1]SADC!Z164-[1]SADC!Y164-Y164&gt;0,Z164+[1]SADC!Z164-[1]SADC!Y164-Y164,0)</f>
        <v>0</v>
      </c>
      <c r="AC164" s="181"/>
      <c r="AD164" s="182">
        <f t="shared" si="2"/>
        <v>8187.5400000000009</v>
      </c>
      <c r="AE164" s="182">
        <f t="shared" si="2"/>
        <v>0</v>
      </c>
      <c r="AF164" s="181"/>
    </row>
    <row r="165" spans="1:32">
      <c r="A165" s="181" t="str">
        <f>+VLOOKUP(B165,'[1]coa-mgb'!A$1:B$65536,2,0)</f>
        <v>Insurance Expense</v>
      </c>
      <c r="B165" s="184" t="s">
        <v>199</v>
      </c>
      <c r="C165" s="182">
        <f>+SUMIFS('[1]50215030 00'!$F$1:$F$65536,'[1]50215030 00'!$D$1:$D$65536,"Beginning Balance",'[1]50215030 00'!$D$1:$D$65536,"Beginning Balance")</f>
        <v>0</v>
      </c>
      <c r="D165" s="182">
        <f>+SUMIFS('[1]50215030 00'!$H$1:$H$65536,'[1]50215030 00'!$D$1:$D$65536,"Beginning Balance",'[1]50215030 00'!$D$1:$D$65536,"Beginning Balance")</f>
        <v>0</v>
      </c>
      <c r="E165" s="182">
        <f>+IF(C165+[1]SADC!C165-[1]SADC!D165-D165&gt;0,C165+[1]SADC!C165-[1]SADC!D165-D165,0)</f>
        <v>5030.03</v>
      </c>
      <c r="F165" s="182">
        <f>+IF(D165+[1]SADC!D165-[1]SADC!C165-C165&gt;0,D165+[1]SADC!D165-[1]SADC!C165-C165,0)</f>
        <v>0</v>
      </c>
      <c r="G165" s="182">
        <f>+IF(E165+[1]SADC!E165-[1]SADC!F165-F165&gt;0,E165+[1]SADC!E165-[1]SADC!F165-F165,0)</f>
        <v>10060.06</v>
      </c>
      <c r="H165" s="182">
        <f>+IF(F165+[1]SADC!F165-[1]SADC!E165-E165&gt;0,F165+[1]SADC!F165-[1]SADC!E165-E165,0)</f>
        <v>0</v>
      </c>
      <c r="I165" s="182">
        <f>+IF(G165+[1]SADC!G165-[1]SADC!H165-H165&gt;0,G165+[1]SADC!G165-[1]SADC!H165-H165,0)</f>
        <v>15090.09</v>
      </c>
      <c r="J165" s="182">
        <f>+IF(H165+[1]SADC!H165-[1]SADC!G165-G165&gt;0,H165+[1]SADC!H165-[1]SADC!G165-G165,0)</f>
        <v>0</v>
      </c>
      <c r="K165" s="182">
        <f>+IF(I165+[1]SADC!I165-[1]SADC!J165-J165&gt;0,I165+[1]SADC!I165-[1]SADC!J165-J165,0)</f>
        <v>15090.09</v>
      </c>
      <c r="L165" s="182">
        <f>+IF(J165+[1]SADC!J165-[1]SADC!I165-I165&gt;0,J165+[1]SADC!J165-[1]SADC!I165-I165,0)</f>
        <v>0</v>
      </c>
      <c r="M165" s="182">
        <f>+IF(K165+[1]SADC!K165-[1]SADC!L165-L165&gt;0,K165+[1]SADC!K165-[1]SADC!L165-L165,0)</f>
        <v>15090.09</v>
      </c>
      <c r="N165" s="182">
        <f>+IF(L165+[1]SADC!L165-[1]SADC!K165-K165&gt;0,L165+[1]SADC!L165-[1]SADC!K165-K165,0)</f>
        <v>0</v>
      </c>
      <c r="O165" s="182">
        <f>+IF(M165+[1]SADC!M165-[1]SADC!N165-N165&gt;0,M165+[1]SADC!M165-[1]SADC!N165-N165,0)</f>
        <v>15090.09</v>
      </c>
      <c r="P165" s="182">
        <f>+IF(N165+[1]SADC!N165-[1]SADC!M165-M165&gt;0,N165+[1]SADC!N165-[1]SADC!M165-M165,0)</f>
        <v>0</v>
      </c>
      <c r="Q165" s="182">
        <f>+IF(O165+[1]SADC!O165-[1]SADC!P165-P165&gt;0,O165+[1]SADC!O165-[1]SADC!P165-P165,0)</f>
        <v>15090.09</v>
      </c>
      <c r="R165" s="182">
        <f>+IF(P165+[1]SADC!P165-[1]SADC!O165-O165&gt;0,P165+[1]SADC!P165-[1]SADC!O165-O165,0)</f>
        <v>0</v>
      </c>
      <c r="S165" s="182">
        <f>+IF(Q165+[1]SADC!Q165-[1]SADC!R165-R165&gt;0,Q165+[1]SADC!Q165-[1]SADC!R165-R165,0)</f>
        <v>15090.09</v>
      </c>
      <c r="T165" s="182">
        <f>+IF(R165+[1]SADC!R165-[1]SADC!Q165-Q165&gt;0,R165+[1]SADC!R165-[1]SADC!Q165-Q165,0)</f>
        <v>0</v>
      </c>
      <c r="U165" s="182">
        <f>+IF(S165+[1]SADC!S165-[1]SADC!T165-T165&gt;0,S165+[1]SADC!S165-[1]SADC!T165-T165,0)</f>
        <v>15090.09</v>
      </c>
      <c r="V165" s="182">
        <f>+IF(T165+[1]SADC!T165-[1]SADC!S165-S165&gt;0,T165+[1]SADC!T165-[1]SADC!S165-S165,0)</f>
        <v>0</v>
      </c>
      <c r="W165" s="182">
        <f>+IF(U165+[1]SADC!U165-[1]SADC!V165-V165&gt;0,U165+[1]SADC!U165-[1]SADC!V165-V165,0)</f>
        <v>15090.09</v>
      </c>
      <c r="X165" s="182">
        <f>+IF(V165+[1]SADC!V165-[1]SADC!U165-U165&gt;0,V165+[1]SADC!V165-[1]SADC!U165-U165,0)</f>
        <v>0</v>
      </c>
      <c r="Y165" s="182">
        <f>+IF(W165+[1]SADC!W165-[1]SADC!X165-X165&gt;0,W165+[1]SADC!W165-[1]SADC!X165-X165,0)</f>
        <v>15090.09</v>
      </c>
      <c r="Z165" s="182">
        <f>+IF(X165+[1]SADC!X165-[1]SADC!W165-W165&gt;0,X165+[1]SADC!X165-[1]SADC!W165-W165,0)</f>
        <v>0</v>
      </c>
      <c r="AA165" s="182">
        <f>+IF(Y165+[1]SADC!Y165-[1]SADC!Z165-Z165&gt;0,Y165+[1]SADC!Y165-[1]SADC!Z165-Z165,0)</f>
        <v>15090.09</v>
      </c>
      <c r="AB165" s="182">
        <f>+IF(Z165+[1]SADC!Z165-[1]SADC!Y165-Y165&gt;0,Z165+[1]SADC!Z165-[1]SADC!Y165-Y165,0)</f>
        <v>0</v>
      </c>
      <c r="AC165" s="181"/>
      <c r="AD165" s="182">
        <f t="shared" si="2"/>
        <v>15090.09</v>
      </c>
      <c r="AE165" s="182">
        <f t="shared" si="2"/>
        <v>0</v>
      </c>
      <c r="AF165" s="181"/>
    </row>
    <row r="166" spans="1:32">
      <c r="A166" s="181" t="str">
        <f>+VLOOKUP(B166,'[1]coa-mgb'!A$1:B$65536,2,0)</f>
        <v>Advertising Expense</v>
      </c>
      <c r="B166" s="184" t="s">
        <v>201</v>
      </c>
      <c r="C166" s="182">
        <f>+SUMIFS('[1]50299010 00'!$F$1:$F$65536,'[1]50299010 00'!$D$1:$D$65536,"Beginning Balance",'[1]50299010 00'!$D$1:$D$65536,"Beginning Balance")</f>
        <v>0</v>
      </c>
      <c r="D166" s="182">
        <f>+SUMIFS('[1]50299010 00'!$H$1:$H$65536,'[1]50299010 00'!$D$1:$D$65536,"Beginning Balance",'[1]50299010 00'!$D$1:$D$65536,"Beginning Balance")</f>
        <v>0</v>
      </c>
      <c r="E166" s="182">
        <f>+IF(C166+[1]SADC!C166-[1]SADC!D166-D166&gt;0,C166+[1]SADC!C166-[1]SADC!D166-D166,0)</f>
        <v>0</v>
      </c>
      <c r="F166" s="182">
        <f>+IF(D166+[1]SADC!D166-[1]SADC!C166-C166&gt;0,D166+[1]SADC!D166-[1]SADC!C166-C166,0)</f>
        <v>0</v>
      </c>
      <c r="G166" s="182">
        <f>+IF(E166+[1]SADC!E166-[1]SADC!F166-F166&gt;0,E166+[1]SADC!E166-[1]SADC!F166-F166,0)</f>
        <v>0</v>
      </c>
      <c r="H166" s="182">
        <f>+IF(F166+[1]SADC!F166-[1]SADC!E166-E166&gt;0,F166+[1]SADC!F166-[1]SADC!E166-E166,0)</f>
        <v>0</v>
      </c>
      <c r="I166" s="182">
        <f>+IF(G166+[1]SADC!G166-[1]SADC!H166-H166&gt;0,G166+[1]SADC!G166-[1]SADC!H166-H166,0)</f>
        <v>0</v>
      </c>
      <c r="J166" s="182">
        <f>+IF(H166+[1]SADC!H166-[1]SADC!G166-G166&gt;0,H166+[1]SADC!H166-[1]SADC!G166-G166,0)</f>
        <v>0</v>
      </c>
      <c r="K166" s="182">
        <f>+IF(I166+[1]SADC!I166-[1]SADC!J166-J166&gt;0,I166+[1]SADC!I166-[1]SADC!J166-J166,0)</f>
        <v>0</v>
      </c>
      <c r="L166" s="182">
        <f>+IF(J166+[1]SADC!J166-[1]SADC!I166-I166&gt;0,J166+[1]SADC!J166-[1]SADC!I166-I166,0)</f>
        <v>0</v>
      </c>
      <c r="M166" s="182">
        <f>+IF(K166+[1]SADC!K166-[1]SADC!L166-L166&gt;0,K166+[1]SADC!K166-[1]SADC!L166-L166,0)</f>
        <v>0</v>
      </c>
      <c r="N166" s="182">
        <f>+IF(L166+[1]SADC!L166-[1]SADC!K166-K166&gt;0,L166+[1]SADC!L166-[1]SADC!K166-K166,0)</f>
        <v>0</v>
      </c>
      <c r="O166" s="182">
        <f>+IF(M166+[1]SADC!M166-[1]SADC!N166-N166&gt;0,M166+[1]SADC!M166-[1]SADC!N166-N166,0)</f>
        <v>0</v>
      </c>
      <c r="P166" s="182">
        <f>+IF(N166+[1]SADC!N166-[1]SADC!M166-M166&gt;0,N166+[1]SADC!N166-[1]SADC!M166-M166,0)</f>
        <v>0</v>
      </c>
      <c r="Q166" s="182">
        <f>+IF(O166+[1]SADC!O166-[1]SADC!P166-P166&gt;0,O166+[1]SADC!O166-[1]SADC!P166-P166,0)</f>
        <v>0</v>
      </c>
      <c r="R166" s="182">
        <f>+IF(P166+[1]SADC!P166-[1]SADC!O166-O166&gt;0,P166+[1]SADC!P166-[1]SADC!O166-O166,0)</f>
        <v>0</v>
      </c>
      <c r="S166" s="182">
        <f>+IF(Q166+[1]SADC!Q166-[1]SADC!R166-R166&gt;0,Q166+[1]SADC!Q166-[1]SADC!R166-R166,0)</f>
        <v>0</v>
      </c>
      <c r="T166" s="182">
        <f>+IF(R166+[1]SADC!R166-[1]SADC!Q166-Q166&gt;0,R166+[1]SADC!R166-[1]SADC!Q166-Q166,0)</f>
        <v>0</v>
      </c>
      <c r="U166" s="182">
        <f>+IF(S166+[1]SADC!S166-[1]SADC!T166-T166&gt;0,S166+[1]SADC!S166-[1]SADC!T166-T166,0)</f>
        <v>0</v>
      </c>
      <c r="V166" s="182">
        <f>+IF(T166+[1]SADC!T166-[1]SADC!S166-S166&gt;0,T166+[1]SADC!T166-[1]SADC!S166-S166,0)</f>
        <v>0</v>
      </c>
      <c r="W166" s="182">
        <f>+IF(U166+[1]SADC!U166-[1]SADC!V166-V166&gt;0,U166+[1]SADC!U166-[1]SADC!V166-V166,0)</f>
        <v>0</v>
      </c>
      <c r="X166" s="182">
        <f>+IF(V166+[1]SADC!V166-[1]SADC!U166-U166&gt;0,V166+[1]SADC!V166-[1]SADC!U166-U166,0)</f>
        <v>0</v>
      </c>
      <c r="Y166" s="182">
        <f>+IF(W166+[1]SADC!W166-[1]SADC!X166-X166&gt;0,W166+[1]SADC!W166-[1]SADC!X166-X166,0)</f>
        <v>0</v>
      </c>
      <c r="Z166" s="182">
        <f>+IF(X166+[1]SADC!X166-[1]SADC!W166-W166&gt;0,X166+[1]SADC!X166-[1]SADC!W166-W166,0)</f>
        <v>0</v>
      </c>
      <c r="AA166" s="182">
        <f>+IF(Y166+[1]SADC!Y166-[1]SADC!Z166-Z166&gt;0,Y166+[1]SADC!Y166-[1]SADC!Z166-Z166,0)</f>
        <v>0</v>
      </c>
      <c r="AB166" s="182">
        <f>+IF(Z166+[1]SADC!Z166-[1]SADC!Y166-Y166&gt;0,Z166+[1]SADC!Z166-[1]SADC!Y166-Y166,0)</f>
        <v>0</v>
      </c>
      <c r="AC166" s="181"/>
      <c r="AD166" s="182">
        <f t="shared" si="2"/>
        <v>0</v>
      </c>
      <c r="AE166" s="182">
        <f t="shared" si="2"/>
        <v>0</v>
      </c>
      <c r="AF166" s="181"/>
    </row>
    <row r="167" spans="1:32">
      <c r="A167" s="181" t="str">
        <f>+VLOOKUP(B167,'[1]coa-mgb'!A$1:B$65536,2,0)</f>
        <v>Printing and Publication Expenses</v>
      </c>
      <c r="B167" s="184" t="s">
        <v>202</v>
      </c>
      <c r="C167" s="182">
        <f>+SUMIFS('[1]50299020 00'!$F$1:$F$65536,'[1]50299020 00'!$D$1:$D$65536,"Beginning Balance",'[1]50299020 00'!$D$1:$D$65536,"Beginning Balance")</f>
        <v>0</v>
      </c>
      <c r="D167" s="182">
        <f>+SUMIFS('[1]50299020 00'!$H$1:$H$65536,'[1]50299020 00'!$D$1:$D$65536,"Beginning Balance",'[1]50299020 00'!$D$1:$D$65536,"Beginning Balance")</f>
        <v>0</v>
      </c>
      <c r="E167" s="182">
        <f>+IF(C167+[1]SADC!C167-[1]SADC!D167-D167&gt;0,C167+[1]SADC!C167-[1]SADC!D167-D167,0)</f>
        <v>0</v>
      </c>
      <c r="F167" s="182">
        <f>+IF(D167+[1]SADC!D167-[1]SADC!C167-C167&gt;0,D167+[1]SADC!D167-[1]SADC!C167-C167,0)</f>
        <v>0</v>
      </c>
      <c r="G167" s="182">
        <f>+IF(E167+[1]SADC!E167-[1]SADC!F167-F167&gt;0,E167+[1]SADC!E167-[1]SADC!F167-F167,0)</f>
        <v>0</v>
      </c>
      <c r="H167" s="182">
        <f>+IF(F167+[1]SADC!F167-[1]SADC!E167-E167&gt;0,F167+[1]SADC!F167-[1]SADC!E167-E167,0)</f>
        <v>0</v>
      </c>
      <c r="I167" s="182">
        <f>+IF(G167+[1]SADC!G167-[1]SADC!H167-H167&gt;0,G167+[1]SADC!G167-[1]SADC!H167-H167,0)</f>
        <v>0</v>
      </c>
      <c r="J167" s="182">
        <f>+IF(H167+[1]SADC!H167-[1]SADC!G167-G167&gt;0,H167+[1]SADC!H167-[1]SADC!G167-G167,0)</f>
        <v>0</v>
      </c>
      <c r="K167" s="182">
        <f>+IF(I167+[1]SADC!I167-[1]SADC!J167-J167&gt;0,I167+[1]SADC!I167-[1]SADC!J167-J167,0)</f>
        <v>0</v>
      </c>
      <c r="L167" s="182">
        <f>+IF(J167+[1]SADC!J167-[1]SADC!I167-I167&gt;0,J167+[1]SADC!J167-[1]SADC!I167-I167,0)</f>
        <v>0</v>
      </c>
      <c r="M167" s="182">
        <f>+IF(K167+[1]SADC!K167-[1]SADC!L167-L167&gt;0,K167+[1]SADC!K167-[1]SADC!L167-L167,0)</f>
        <v>0</v>
      </c>
      <c r="N167" s="182">
        <f>+IF(L167+[1]SADC!L167-[1]SADC!K167-K167&gt;0,L167+[1]SADC!L167-[1]SADC!K167-K167,0)</f>
        <v>0</v>
      </c>
      <c r="O167" s="182">
        <f>+IF(M167+[1]SADC!M167-[1]SADC!N167-N167&gt;0,M167+[1]SADC!M167-[1]SADC!N167-N167,0)</f>
        <v>0</v>
      </c>
      <c r="P167" s="182">
        <f>+IF(N167+[1]SADC!N167-[1]SADC!M167-M167&gt;0,N167+[1]SADC!N167-[1]SADC!M167-M167,0)</f>
        <v>0</v>
      </c>
      <c r="Q167" s="182">
        <f>+IF(O167+[1]SADC!O167-[1]SADC!P167-P167&gt;0,O167+[1]SADC!O167-[1]SADC!P167-P167,0)</f>
        <v>0</v>
      </c>
      <c r="R167" s="182">
        <f>+IF(P167+[1]SADC!P167-[1]SADC!O167-O167&gt;0,P167+[1]SADC!P167-[1]SADC!O167-O167,0)</f>
        <v>0</v>
      </c>
      <c r="S167" s="182">
        <f>+IF(Q167+[1]SADC!Q167-[1]SADC!R167-R167&gt;0,Q167+[1]SADC!Q167-[1]SADC!R167-R167,0)</f>
        <v>0</v>
      </c>
      <c r="T167" s="182">
        <f>+IF(R167+[1]SADC!R167-[1]SADC!Q167-Q167&gt;0,R167+[1]SADC!R167-[1]SADC!Q167-Q167,0)</f>
        <v>0</v>
      </c>
      <c r="U167" s="182">
        <f>+IF(S167+[1]SADC!S167-[1]SADC!T167-T167&gt;0,S167+[1]SADC!S167-[1]SADC!T167-T167,0)</f>
        <v>0</v>
      </c>
      <c r="V167" s="182">
        <f>+IF(T167+[1]SADC!T167-[1]SADC!S167-S167&gt;0,T167+[1]SADC!T167-[1]SADC!S167-S167,0)</f>
        <v>0</v>
      </c>
      <c r="W167" s="182">
        <f>+IF(U167+[1]SADC!U167-[1]SADC!V167-V167&gt;0,U167+[1]SADC!U167-[1]SADC!V167-V167,0)</f>
        <v>0</v>
      </c>
      <c r="X167" s="182">
        <f>+IF(V167+[1]SADC!V167-[1]SADC!U167-U167&gt;0,V167+[1]SADC!V167-[1]SADC!U167-U167,0)</f>
        <v>0</v>
      </c>
      <c r="Y167" s="182">
        <f>+IF(W167+[1]SADC!W167-[1]SADC!X167-X167&gt;0,W167+[1]SADC!W167-[1]SADC!X167-X167,0)</f>
        <v>0</v>
      </c>
      <c r="Z167" s="182">
        <f>+IF(X167+[1]SADC!X167-[1]SADC!W167-W167&gt;0,X167+[1]SADC!X167-[1]SADC!W167-W167,0)</f>
        <v>0</v>
      </c>
      <c r="AA167" s="182">
        <f>+IF(Y167+[1]SADC!Y167-[1]SADC!Z167-Z167&gt;0,Y167+[1]SADC!Y167-[1]SADC!Z167-Z167,0)</f>
        <v>0</v>
      </c>
      <c r="AB167" s="182">
        <f>+IF(Z167+[1]SADC!Z167-[1]SADC!Y167-Y167&gt;0,Z167+[1]SADC!Z167-[1]SADC!Y167-Y167,0)</f>
        <v>0</v>
      </c>
      <c r="AC167" s="181"/>
      <c r="AD167" s="182">
        <f t="shared" si="2"/>
        <v>0</v>
      </c>
      <c r="AE167" s="182">
        <f t="shared" si="2"/>
        <v>0</v>
      </c>
      <c r="AF167" s="181"/>
    </row>
    <row r="168" spans="1:32">
      <c r="A168" s="181" t="str">
        <f>+VLOOKUP(B168,'[1]coa-mgb'!A$1:B$65536,2,0)</f>
        <v>Representation Expenses</v>
      </c>
      <c r="B168" s="184" t="s">
        <v>203</v>
      </c>
      <c r="C168" s="182">
        <f>+SUMIFS('[1]50299030 00'!$F$1:$F$65536,'[1]50299030 00'!$D$1:$D$65536,"Beginning Balance",'[1]50299030 00'!$D$1:$D$65536,"Beginning Balance")</f>
        <v>0</v>
      </c>
      <c r="D168" s="182">
        <f>+SUMIFS('[1]50299030 00'!$H$1:$H$65536,'[1]50299030 00'!$D$1:$D$65536,"Beginning Balance",'[1]50299030 00'!$D$1:$D$65536,"Beginning Balance")</f>
        <v>0</v>
      </c>
      <c r="E168" s="182">
        <f>+IF(C168+[1]SADC!C168-[1]SADC!D168-D168&gt;0,C168+[1]SADC!C168-[1]SADC!D168-D168,0)</f>
        <v>0</v>
      </c>
      <c r="F168" s="182">
        <f>+IF(D168+[1]SADC!D168-[1]SADC!C168-C168&gt;0,D168+[1]SADC!D168-[1]SADC!C168-C168,0)</f>
        <v>0</v>
      </c>
      <c r="G168" s="182">
        <f>+IF(E168+[1]SADC!E168-[1]SADC!F168-F168&gt;0,E168+[1]SADC!E168-[1]SADC!F168-F168,0)</f>
        <v>78350</v>
      </c>
      <c r="H168" s="182">
        <f>+IF(F168+[1]SADC!F168-[1]SADC!E168-E168&gt;0,F168+[1]SADC!F168-[1]SADC!E168-E168,0)</f>
        <v>0</v>
      </c>
      <c r="I168" s="182">
        <f>+IF(G168+[1]SADC!G168-[1]SADC!H168-H168&gt;0,G168+[1]SADC!G168-[1]SADC!H168-H168,0)</f>
        <v>187607.3</v>
      </c>
      <c r="J168" s="182">
        <f>+IF(H168+[1]SADC!H168-[1]SADC!G168-G168&gt;0,H168+[1]SADC!H168-[1]SADC!G168-G168,0)</f>
        <v>0</v>
      </c>
      <c r="K168" s="182">
        <f>+IF(I168+[1]SADC!I168-[1]SADC!J168-J168&gt;0,I168+[1]SADC!I168-[1]SADC!J168-J168,0)</f>
        <v>187607.3</v>
      </c>
      <c r="L168" s="182">
        <f>+IF(J168+[1]SADC!J168-[1]SADC!I168-I168&gt;0,J168+[1]SADC!J168-[1]SADC!I168-I168,0)</f>
        <v>0</v>
      </c>
      <c r="M168" s="182">
        <f>+IF(K168+[1]SADC!K168-[1]SADC!L168-L168&gt;0,K168+[1]SADC!K168-[1]SADC!L168-L168,0)</f>
        <v>187607.3</v>
      </c>
      <c r="N168" s="182">
        <f>+IF(L168+[1]SADC!L168-[1]SADC!K168-K168&gt;0,L168+[1]SADC!L168-[1]SADC!K168-K168,0)</f>
        <v>0</v>
      </c>
      <c r="O168" s="182">
        <f>+IF(M168+[1]SADC!M168-[1]SADC!N168-N168&gt;0,M168+[1]SADC!M168-[1]SADC!N168-N168,0)</f>
        <v>187607.3</v>
      </c>
      <c r="P168" s="182">
        <f>+IF(N168+[1]SADC!N168-[1]SADC!M168-M168&gt;0,N168+[1]SADC!N168-[1]SADC!M168-M168,0)</f>
        <v>0</v>
      </c>
      <c r="Q168" s="182">
        <f>+IF(O168+[1]SADC!O168-[1]SADC!P168-P168&gt;0,O168+[1]SADC!O168-[1]SADC!P168-P168,0)</f>
        <v>187607.3</v>
      </c>
      <c r="R168" s="182">
        <f>+IF(P168+[1]SADC!P168-[1]SADC!O168-O168&gt;0,P168+[1]SADC!P168-[1]SADC!O168-O168,0)</f>
        <v>0</v>
      </c>
      <c r="S168" s="182">
        <f>+IF(Q168+[1]SADC!Q168-[1]SADC!R168-R168&gt;0,Q168+[1]SADC!Q168-[1]SADC!R168-R168,0)</f>
        <v>187607.3</v>
      </c>
      <c r="T168" s="182">
        <f>+IF(R168+[1]SADC!R168-[1]SADC!Q168-Q168&gt;0,R168+[1]SADC!R168-[1]SADC!Q168-Q168,0)</f>
        <v>0</v>
      </c>
      <c r="U168" s="182">
        <f>+IF(S168+[1]SADC!S168-[1]SADC!T168-T168&gt;0,S168+[1]SADC!S168-[1]SADC!T168-T168,0)</f>
        <v>187607.3</v>
      </c>
      <c r="V168" s="182">
        <f>+IF(T168+[1]SADC!T168-[1]SADC!S168-S168&gt;0,T168+[1]SADC!T168-[1]SADC!S168-S168,0)</f>
        <v>0</v>
      </c>
      <c r="W168" s="182">
        <f>+IF(U168+[1]SADC!U168-[1]SADC!V168-V168&gt;0,U168+[1]SADC!U168-[1]SADC!V168-V168,0)</f>
        <v>187607.3</v>
      </c>
      <c r="X168" s="182">
        <f>+IF(V168+[1]SADC!V168-[1]SADC!U168-U168&gt;0,V168+[1]SADC!V168-[1]SADC!U168-U168,0)</f>
        <v>0</v>
      </c>
      <c r="Y168" s="182">
        <f>+IF(W168+[1]SADC!W168-[1]SADC!X168-X168&gt;0,W168+[1]SADC!W168-[1]SADC!X168-X168,0)</f>
        <v>187607.3</v>
      </c>
      <c r="Z168" s="182">
        <f>+IF(X168+[1]SADC!X168-[1]SADC!W168-W168&gt;0,X168+[1]SADC!X168-[1]SADC!W168-W168,0)</f>
        <v>0</v>
      </c>
      <c r="AA168" s="182">
        <f>+IF(Y168+[1]SADC!Y168-[1]SADC!Z168-Z168&gt;0,Y168+[1]SADC!Y168-[1]SADC!Z168-Z168,0)</f>
        <v>187607.3</v>
      </c>
      <c r="AB168" s="182">
        <f>+IF(Z168+[1]SADC!Z168-[1]SADC!Y168-Y168&gt;0,Z168+[1]SADC!Z168-[1]SADC!Y168-Y168,0)</f>
        <v>0</v>
      </c>
      <c r="AC168" s="181"/>
      <c r="AD168" s="182">
        <f t="shared" si="2"/>
        <v>187607.3</v>
      </c>
      <c r="AE168" s="182">
        <f t="shared" si="2"/>
        <v>0</v>
      </c>
      <c r="AF168" s="181"/>
    </row>
    <row r="169" spans="1:32">
      <c r="A169" s="181" t="str">
        <f>+VLOOKUP(B169,'[1]coa-mgb'!A$1:B$65536,2,0)</f>
        <v>Transportation and Delivery Expenses</v>
      </c>
      <c r="B169" s="184" t="s">
        <v>204</v>
      </c>
      <c r="C169" s="182">
        <f>+SUMIFS('[1]50299040 00'!$F$1:$F$65536,'[1]50299040 00'!$D$1:$D$65536,"Beginning Balance",'[1]50299040 00'!$D$1:$D$65536,"Beginning Balance")</f>
        <v>0</v>
      </c>
      <c r="D169" s="182">
        <f>+SUMIFS('[1]50299040 00'!$H$1:$H$65536,'[1]50299040 00'!$D$1:$D$65536,"Beginning Balance",'[1]50299040 00'!$D$1:$D$65536,"Beginning Balance")</f>
        <v>0</v>
      </c>
      <c r="E169" s="182">
        <f>+IF(C169+[1]SADC!C169-[1]SADC!D169-D169&gt;0,C169+[1]SADC!C169-[1]SADC!D169-D169,0)</f>
        <v>0</v>
      </c>
      <c r="F169" s="182">
        <f>+IF(D169+[1]SADC!D169-[1]SADC!C169-C169&gt;0,D169+[1]SADC!D169-[1]SADC!C169-C169,0)</f>
        <v>0</v>
      </c>
      <c r="G169" s="182">
        <f>+IF(E169+[1]SADC!E169-[1]SADC!F169-F169&gt;0,E169+[1]SADC!E169-[1]SADC!F169-F169,0)</f>
        <v>8440</v>
      </c>
      <c r="H169" s="182">
        <f>+IF(F169+[1]SADC!F169-[1]SADC!E169-E169&gt;0,F169+[1]SADC!F169-[1]SADC!E169-E169,0)</f>
        <v>0</v>
      </c>
      <c r="I169" s="182">
        <f>+IF(G169+[1]SADC!G169-[1]SADC!H169-H169&gt;0,G169+[1]SADC!G169-[1]SADC!H169-H169,0)</f>
        <v>8840</v>
      </c>
      <c r="J169" s="182">
        <f>+IF(H169+[1]SADC!H169-[1]SADC!G169-G169&gt;0,H169+[1]SADC!H169-[1]SADC!G169-G169,0)</f>
        <v>0</v>
      </c>
      <c r="K169" s="182">
        <f>+IF(I169+[1]SADC!I169-[1]SADC!J169-J169&gt;0,I169+[1]SADC!I169-[1]SADC!J169-J169,0)</f>
        <v>8840</v>
      </c>
      <c r="L169" s="182">
        <f>+IF(J169+[1]SADC!J169-[1]SADC!I169-I169&gt;0,J169+[1]SADC!J169-[1]SADC!I169-I169,0)</f>
        <v>0</v>
      </c>
      <c r="M169" s="182">
        <f>+IF(K169+[1]SADC!K169-[1]SADC!L169-L169&gt;0,K169+[1]SADC!K169-[1]SADC!L169-L169,0)</f>
        <v>8840</v>
      </c>
      <c r="N169" s="182">
        <f>+IF(L169+[1]SADC!L169-[1]SADC!K169-K169&gt;0,L169+[1]SADC!L169-[1]SADC!K169-K169,0)</f>
        <v>0</v>
      </c>
      <c r="O169" s="182">
        <f>+IF(M169+[1]SADC!M169-[1]SADC!N169-N169&gt;0,M169+[1]SADC!M169-[1]SADC!N169-N169,0)</f>
        <v>8840</v>
      </c>
      <c r="P169" s="182">
        <f>+IF(N169+[1]SADC!N169-[1]SADC!M169-M169&gt;0,N169+[1]SADC!N169-[1]SADC!M169-M169,0)</f>
        <v>0</v>
      </c>
      <c r="Q169" s="182">
        <f>+IF(O169+[1]SADC!O169-[1]SADC!P169-P169&gt;0,O169+[1]SADC!O169-[1]SADC!P169-P169,0)</f>
        <v>8840</v>
      </c>
      <c r="R169" s="182">
        <f>+IF(P169+[1]SADC!P169-[1]SADC!O169-O169&gt;0,P169+[1]SADC!P169-[1]SADC!O169-O169,0)</f>
        <v>0</v>
      </c>
      <c r="S169" s="182">
        <f>+IF(Q169+[1]SADC!Q169-[1]SADC!R169-R169&gt;0,Q169+[1]SADC!Q169-[1]SADC!R169-R169,0)</f>
        <v>8840</v>
      </c>
      <c r="T169" s="182">
        <f>+IF(R169+[1]SADC!R169-[1]SADC!Q169-Q169&gt;0,R169+[1]SADC!R169-[1]SADC!Q169-Q169,0)</f>
        <v>0</v>
      </c>
      <c r="U169" s="182">
        <f>+IF(S169+[1]SADC!S169-[1]SADC!T169-T169&gt;0,S169+[1]SADC!S169-[1]SADC!T169-T169,0)</f>
        <v>8840</v>
      </c>
      <c r="V169" s="182">
        <f>+IF(T169+[1]SADC!T169-[1]SADC!S169-S169&gt;0,T169+[1]SADC!T169-[1]SADC!S169-S169,0)</f>
        <v>0</v>
      </c>
      <c r="W169" s="182">
        <f>+IF(U169+[1]SADC!U169-[1]SADC!V169-V169&gt;0,U169+[1]SADC!U169-[1]SADC!V169-V169,0)</f>
        <v>8840</v>
      </c>
      <c r="X169" s="182">
        <f>+IF(V169+[1]SADC!V169-[1]SADC!U169-U169&gt;0,V169+[1]SADC!V169-[1]SADC!U169-U169,0)</f>
        <v>0</v>
      </c>
      <c r="Y169" s="182">
        <f>+IF(W169+[1]SADC!W169-[1]SADC!X169-X169&gt;0,W169+[1]SADC!W169-[1]SADC!X169-X169,0)</f>
        <v>8840</v>
      </c>
      <c r="Z169" s="182">
        <f>+IF(X169+[1]SADC!X169-[1]SADC!W169-W169&gt;0,X169+[1]SADC!X169-[1]SADC!W169-W169,0)</f>
        <v>0</v>
      </c>
      <c r="AA169" s="182">
        <f>+IF(Y169+[1]SADC!Y169-[1]SADC!Z169-Z169&gt;0,Y169+[1]SADC!Y169-[1]SADC!Z169-Z169,0)</f>
        <v>8840</v>
      </c>
      <c r="AB169" s="182">
        <f>+IF(Z169+[1]SADC!Z169-[1]SADC!Y169-Y169&gt;0,Z169+[1]SADC!Z169-[1]SADC!Y169-Y169,0)</f>
        <v>0</v>
      </c>
      <c r="AC169" s="181"/>
      <c r="AD169" s="182">
        <f t="shared" si="2"/>
        <v>8840</v>
      </c>
      <c r="AE169" s="182">
        <f t="shared" si="2"/>
        <v>0</v>
      </c>
      <c r="AF169" s="181"/>
    </row>
    <row r="170" spans="1:32">
      <c r="A170" s="181" t="str">
        <f>+VLOOKUP(B170,'[1]coa-mgb'!A$1:B$65536,2,0)</f>
        <v>Rent/Lease Expense</v>
      </c>
      <c r="B170" s="184" t="s">
        <v>205</v>
      </c>
      <c r="C170" s="182">
        <f>+SUMIFS('[1]50299050 00'!$F$1:$F$65536,'[1]50299050 00'!$D$1:$D$65536,"Beginning Balance",'[1]50299050 00'!$D$1:$D$65536,"Beginning Balance")</f>
        <v>0</v>
      </c>
      <c r="D170" s="182">
        <f>+SUMIFS('[1]50299050 00'!$H$1:$H$65536,'[1]50299050 00'!$D$1:$D$65536,"Beginning Balance",'[1]50299050 00'!$D$1:$D$65536,"Beginning Balance")</f>
        <v>0</v>
      </c>
      <c r="E170" s="182">
        <f>+IF(C170+[1]SADC!C170-[1]SADC!D170-D170&gt;0,C170+[1]SADC!C170-[1]SADC!D170-D170,0)</f>
        <v>0</v>
      </c>
      <c r="F170" s="182">
        <f>+IF(D170+[1]SADC!D170-[1]SADC!C170-C170&gt;0,D170+[1]SADC!D170-[1]SADC!C170-C170,0)</f>
        <v>0</v>
      </c>
      <c r="G170" s="182">
        <f>+IF(E170+[1]SADC!E170-[1]SADC!F170-F170&gt;0,E170+[1]SADC!E170-[1]SADC!F170-F170,0)</f>
        <v>0</v>
      </c>
      <c r="H170" s="182">
        <f>+IF(F170+[1]SADC!F170-[1]SADC!E170-E170&gt;0,F170+[1]SADC!F170-[1]SADC!E170-E170,0)</f>
        <v>0</v>
      </c>
      <c r="I170" s="182">
        <f>+IF(G170+[1]SADC!G170-[1]SADC!H170-H170&gt;0,G170+[1]SADC!G170-[1]SADC!H170-H170,0)</f>
        <v>0</v>
      </c>
      <c r="J170" s="182">
        <f>+IF(H170+[1]SADC!H170-[1]SADC!G170-G170&gt;0,H170+[1]SADC!H170-[1]SADC!G170-G170,0)</f>
        <v>0</v>
      </c>
      <c r="K170" s="182">
        <f>+IF(I170+[1]SADC!I170-[1]SADC!J170-J170&gt;0,I170+[1]SADC!I170-[1]SADC!J170-J170,0)</f>
        <v>0</v>
      </c>
      <c r="L170" s="182">
        <f>+IF(J170+[1]SADC!J170-[1]SADC!I170-I170&gt;0,J170+[1]SADC!J170-[1]SADC!I170-I170,0)</f>
        <v>0</v>
      </c>
      <c r="M170" s="182">
        <f>+IF(K170+[1]SADC!K170-[1]SADC!L170-L170&gt;0,K170+[1]SADC!K170-[1]SADC!L170-L170,0)</f>
        <v>0</v>
      </c>
      <c r="N170" s="182">
        <f>+IF(L170+[1]SADC!L170-[1]SADC!K170-K170&gt;0,L170+[1]SADC!L170-[1]SADC!K170-K170,0)</f>
        <v>0</v>
      </c>
      <c r="O170" s="182">
        <f>+IF(M170+[1]SADC!M170-[1]SADC!N170-N170&gt;0,M170+[1]SADC!M170-[1]SADC!N170-N170,0)</f>
        <v>0</v>
      </c>
      <c r="P170" s="182">
        <f>+IF(N170+[1]SADC!N170-[1]SADC!M170-M170&gt;0,N170+[1]SADC!N170-[1]SADC!M170-M170,0)</f>
        <v>0</v>
      </c>
      <c r="Q170" s="182">
        <f>+IF(O170+[1]SADC!O170-[1]SADC!P170-P170&gt;0,O170+[1]SADC!O170-[1]SADC!P170-P170,0)</f>
        <v>0</v>
      </c>
      <c r="R170" s="182">
        <f>+IF(P170+[1]SADC!P170-[1]SADC!O170-O170&gt;0,P170+[1]SADC!P170-[1]SADC!O170-O170,0)</f>
        <v>0</v>
      </c>
      <c r="S170" s="182">
        <f>+IF(Q170+[1]SADC!Q170-[1]SADC!R170-R170&gt;0,Q170+[1]SADC!Q170-[1]SADC!R170-R170,0)</f>
        <v>0</v>
      </c>
      <c r="T170" s="182">
        <f>+IF(R170+[1]SADC!R170-[1]SADC!Q170-Q170&gt;0,R170+[1]SADC!R170-[1]SADC!Q170-Q170,0)</f>
        <v>0</v>
      </c>
      <c r="U170" s="182">
        <f>+IF(S170+[1]SADC!S170-[1]SADC!T170-T170&gt;0,S170+[1]SADC!S170-[1]SADC!T170-T170,0)</f>
        <v>0</v>
      </c>
      <c r="V170" s="182">
        <f>+IF(T170+[1]SADC!T170-[1]SADC!S170-S170&gt;0,T170+[1]SADC!T170-[1]SADC!S170-S170,0)</f>
        <v>0</v>
      </c>
      <c r="W170" s="182">
        <f>+IF(U170+[1]SADC!U170-[1]SADC!V170-V170&gt;0,U170+[1]SADC!U170-[1]SADC!V170-V170,0)</f>
        <v>0</v>
      </c>
      <c r="X170" s="182">
        <f>+IF(V170+[1]SADC!V170-[1]SADC!U170-U170&gt;0,V170+[1]SADC!V170-[1]SADC!U170-U170,0)</f>
        <v>0</v>
      </c>
      <c r="Y170" s="182">
        <f>+IF(W170+[1]SADC!W170-[1]SADC!X170-X170&gt;0,W170+[1]SADC!W170-[1]SADC!X170-X170,0)</f>
        <v>0</v>
      </c>
      <c r="Z170" s="182">
        <f>+IF(X170+[1]SADC!X170-[1]SADC!W170-W170&gt;0,X170+[1]SADC!X170-[1]SADC!W170-W170,0)</f>
        <v>0</v>
      </c>
      <c r="AA170" s="182">
        <f>+IF(Y170+[1]SADC!Y170-[1]SADC!Z170-Z170&gt;0,Y170+[1]SADC!Y170-[1]SADC!Z170-Z170,0)</f>
        <v>0</v>
      </c>
      <c r="AB170" s="182">
        <f>+IF(Z170+[1]SADC!Z170-[1]SADC!Y170-Y170&gt;0,Z170+[1]SADC!Z170-[1]SADC!Y170-Y170,0)</f>
        <v>0</v>
      </c>
      <c r="AC170" s="181"/>
      <c r="AD170" s="182">
        <f t="shared" si="2"/>
        <v>0</v>
      </c>
      <c r="AE170" s="182">
        <f t="shared" si="2"/>
        <v>0</v>
      </c>
      <c r="AF170" s="181"/>
    </row>
    <row r="171" spans="1:32">
      <c r="A171" s="181" t="str">
        <f>+VLOOKUP(B171,'[1]coa-mgb'!A$1:B$65536,2,0)</f>
        <v>Membership Dues and Contributions to Organizations</v>
      </c>
      <c r="B171" s="184" t="s">
        <v>206</v>
      </c>
      <c r="C171" s="182">
        <f>+SUMIFS('[1]50299060 00'!$F$1:$F$65536,'[1]50299060 00'!$D$1:$D$65536,"Beginning Balance",'[1]50299060 00'!$D$1:$D$65536,"Beginning Balance")</f>
        <v>0</v>
      </c>
      <c r="D171" s="182">
        <f>+SUMIFS('[1]50299060 00'!$H$1:$H$65536,'[1]50299060 00'!$D$1:$D$65536,"Beginning Balance",'[1]50299060 00'!$D$1:$D$65536,"Beginning Balance")</f>
        <v>0</v>
      </c>
      <c r="E171" s="182">
        <f>+IF(C171+[1]SADC!C171-[1]SADC!D171-D171&gt;0,C171+[1]SADC!C171-[1]SADC!D171-D171,0)</f>
        <v>0</v>
      </c>
      <c r="F171" s="182">
        <f>+IF(D171+[1]SADC!D171-[1]SADC!C171-C171&gt;0,D171+[1]SADC!D171-[1]SADC!C171-C171,0)</f>
        <v>0</v>
      </c>
      <c r="G171" s="182">
        <f>+IF(E171+[1]SADC!E171-[1]SADC!F171-F171&gt;0,E171+[1]SADC!E171-[1]SADC!F171-F171,0)</f>
        <v>0</v>
      </c>
      <c r="H171" s="182">
        <f>+IF(F171+[1]SADC!F171-[1]SADC!E171-E171&gt;0,F171+[1]SADC!F171-[1]SADC!E171-E171,0)</f>
        <v>0</v>
      </c>
      <c r="I171" s="182">
        <f>+IF(G171+[1]SADC!G171-[1]SADC!H171-H171&gt;0,G171+[1]SADC!G171-[1]SADC!H171-H171,0)</f>
        <v>0</v>
      </c>
      <c r="J171" s="182">
        <f>+IF(H171+[1]SADC!H171-[1]SADC!G171-G171&gt;0,H171+[1]SADC!H171-[1]SADC!G171-G171,0)</f>
        <v>0</v>
      </c>
      <c r="K171" s="182">
        <f>+IF(I171+[1]SADC!I171-[1]SADC!J171-J171&gt;0,I171+[1]SADC!I171-[1]SADC!J171-J171,0)</f>
        <v>0</v>
      </c>
      <c r="L171" s="182">
        <f>+IF(J171+[1]SADC!J171-[1]SADC!I171-I171&gt;0,J171+[1]SADC!J171-[1]SADC!I171-I171,0)</f>
        <v>0</v>
      </c>
      <c r="M171" s="182">
        <f>+IF(K171+[1]SADC!K171-[1]SADC!L171-L171&gt;0,K171+[1]SADC!K171-[1]SADC!L171-L171,0)</f>
        <v>0</v>
      </c>
      <c r="N171" s="182">
        <f>+IF(L171+[1]SADC!L171-[1]SADC!K171-K171&gt;0,L171+[1]SADC!L171-[1]SADC!K171-K171,0)</f>
        <v>0</v>
      </c>
      <c r="O171" s="182">
        <f>+IF(M171+[1]SADC!M171-[1]SADC!N171-N171&gt;0,M171+[1]SADC!M171-[1]SADC!N171-N171,0)</f>
        <v>0</v>
      </c>
      <c r="P171" s="182">
        <f>+IF(N171+[1]SADC!N171-[1]SADC!M171-M171&gt;0,N171+[1]SADC!N171-[1]SADC!M171-M171,0)</f>
        <v>0</v>
      </c>
      <c r="Q171" s="182">
        <f>+IF(O171+[1]SADC!O171-[1]SADC!P171-P171&gt;0,O171+[1]SADC!O171-[1]SADC!P171-P171,0)</f>
        <v>0</v>
      </c>
      <c r="R171" s="182">
        <f>+IF(P171+[1]SADC!P171-[1]SADC!O171-O171&gt;0,P171+[1]SADC!P171-[1]SADC!O171-O171,0)</f>
        <v>0</v>
      </c>
      <c r="S171" s="182">
        <f>+IF(Q171+[1]SADC!Q171-[1]SADC!R171-R171&gt;0,Q171+[1]SADC!Q171-[1]SADC!R171-R171,0)</f>
        <v>0</v>
      </c>
      <c r="T171" s="182">
        <f>+IF(R171+[1]SADC!R171-[1]SADC!Q171-Q171&gt;0,R171+[1]SADC!R171-[1]SADC!Q171-Q171,0)</f>
        <v>0</v>
      </c>
      <c r="U171" s="182">
        <f>+IF(S171+[1]SADC!S171-[1]SADC!T171-T171&gt;0,S171+[1]SADC!S171-[1]SADC!T171-T171,0)</f>
        <v>0</v>
      </c>
      <c r="V171" s="182">
        <f>+IF(T171+[1]SADC!T171-[1]SADC!S171-S171&gt;0,T171+[1]SADC!T171-[1]SADC!S171-S171,0)</f>
        <v>0</v>
      </c>
      <c r="W171" s="182">
        <f>+IF(U171+[1]SADC!U171-[1]SADC!V171-V171&gt;0,U171+[1]SADC!U171-[1]SADC!V171-V171,0)</f>
        <v>0</v>
      </c>
      <c r="X171" s="182">
        <f>+IF(V171+[1]SADC!V171-[1]SADC!U171-U171&gt;0,V171+[1]SADC!V171-[1]SADC!U171-U171,0)</f>
        <v>0</v>
      </c>
      <c r="Y171" s="182">
        <f>+IF(W171+[1]SADC!W171-[1]SADC!X171-X171&gt;0,W171+[1]SADC!W171-[1]SADC!X171-X171,0)</f>
        <v>0</v>
      </c>
      <c r="Z171" s="182">
        <f>+IF(X171+[1]SADC!X171-[1]SADC!W171-W171&gt;0,X171+[1]SADC!X171-[1]SADC!W171-W171,0)</f>
        <v>0</v>
      </c>
      <c r="AA171" s="182">
        <f>+IF(Y171+[1]SADC!Y171-[1]SADC!Z171-Z171&gt;0,Y171+[1]SADC!Y171-[1]SADC!Z171-Z171,0)</f>
        <v>0</v>
      </c>
      <c r="AB171" s="182">
        <f>+IF(Z171+[1]SADC!Z171-[1]SADC!Y171-Y171&gt;0,Z171+[1]SADC!Z171-[1]SADC!Y171-Y171,0)</f>
        <v>0</v>
      </c>
      <c r="AC171" s="181"/>
      <c r="AD171" s="182">
        <f t="shared" si="2"/>
        <v>0</v>
      </c>
      <c r="AE171" s="182">
        <f t="shared" si="2"/>
        <v>0</v>
      </c>
      <c r="AF171" s="181"/>
    </row>
    <row r="172" spans="1:32">
      <c r="A172" s="181" t="str">
        <f>+VLOOKUP(B172,'[1]coa-mgb'!A$1:B$65536,2,0)</f>
        <v>Subscriptions Expenses</v>
      </c>
      <c r="B172" s="184" t="s">
        <v>207</v>
      </c>
      <c r="C172" s="182">
        <f>+SUMIFS('[1]50299070 00'!$F$1:$F$65536,'[1]50299070 00'!$D$1:$D$65536,"Beginning Balance",'[1]50299070 00'!$D$1:$D$65536,"Beginning Balance")</f>
        <v>0</v>
      </c>
      <c r="D172" s="182">
        <f>+SUMIFS('[1]50299070 00'!$H$1:$H$65536,'[1]50299070 00'!$D$1:$D$65536,"Beginning Balance",'[1]50299070 00'!$D$1:$D$65536,"Beginning Balance")</f>
        <v>0</v>
      </c>
      <c r="E172" s="182">
        <f>+IF(C172+[1]SADC!C172-[1]SADC!D172-D172&gt;0,C172+[1]SADC!C172-[1]SADC!D172-D172,0)</f>
        <v>0</v>
      </c>
      <c r="F172" s="182">
        <f>+IF(D172+[1]SADC!D172-[1]SADC!C172-C172&gt;0,D172+[1]SADC!D172-[1]SADC!C172-C172,0)</f>
        <v>0</v>
      </c>
      <c r="G172" s="182">
        <f>+IF(E172+[1]SADC!E172-[1]SADC!F172-F172&gt;0,E172+[1]SADC!E172-[1]SADC!F172-F172,0)</f>
        <v>1600</v>
      </c>
      <c r="H172" s="182">
        <f>+IF(F172+[1]SADC!F172-[1]SADC!E172-E172&gt;0,F172+[1]SADC!F172-[1]SADC!E172-E172,0)</f>
        <v>0</v>
      </c>
      <c r="I172" s="182">
        <f>+IF(G172+[1]SADC!G172-[1]SADC!H172-H172&gt;0,G172+[1]SADC!G172-[1]SADC!H172-H172,0)</f>
        <v>3120</v>
      </c>
      <c r="J172" s="182">
        <f>+IF(H172+[1]SADC!H172-[1]SADC!G172-G172&gt;0,H172+[1]SADC!H172-[1]SADC!G172-G172,0)</f>
        <v>0</v>
      </c>
      <c r="K172" s="182">
        <f>+IF(I172+[1]SADC!I172-[1]SADC!J172-J172&gt;0,I172+[1]SADC!I172-[1]SADC!J172-J172,0)</f>
        <v>3120</v>
      </c>
      <c r="L172" s="182">
        <f>+IF(J172+[1]SADC!J172-[1]SADC!I172-I172&gt;0,J172+[1]SADC!J172-[1]SADC!I172-I172,0)</f>
        <v>0</v>
      </c>
      <c r="M172" s="182">
        <f>+IF(K172+[1]SADC!K172-[1]SADC!L172-L172&gt;0,K172+[1]SADC!K172-[1]SADC!L172-L172,0)</f>
        <v>3120</v>
      </c>
      <c r="N172" s="182">
        <f>+IF(L172+[1]SADC!L172-[1]SADC!K172-K172&gt;0,L172+[1]SADC!L172-[1]SADC!K172-K172,0)</f>
        <v>0</v>
      </c>
      <c r="O172" s="182">
        <f>+IF(M172+[1]SADC!M172-[1]SADC!N172-N172&gt;0,M172+[1]SADC!M172-[1]SADC!N172-N172,0)</f>
        <v>3120</v>
      </c>
      <c r="P172" s="182">
        <f>+IF(N172+[1]SADC!N172-[1]SADC!M172-M172&gt;0,N172+[1]SADC!N172-[1]SADC!M172-M172,0)</f>
        <v>0</v>
      </c>
      <c r="Q172" s="182">
        <f>+IF(O172+[1]SADC!O172-[1]SADC!P172-P172&gt;0,O172+[1]SADC!O172-[1]SADC!P172-P172,0)</f>
        <v>3120</v>
      </c>
      <c r="R172" s="182">
        <f>+IF(P172+[1]SADC!P172-[1]SADC!O172-O172&gt;0,P172+[1]SADC!P172-[1]SADC!O172-O172,0)</f>
        <v>0</v>
      </c>
      <c r="S172" s="182">
        <f>+IF(Q172+[1]SADC!Q172-[1]SADC!R172-R172&gt;0,Q172+[1]SADC!Q172-[1]SADC!R172-R172,0)</f>
        <v>3120</v>
      </c>
      <c r="T172" s="182">
        <f>+IF(R172+[1]SADC!R172-[1]SADC!Q172-Q172&gt;0,R172+[1]SADC!R172-[1]SADC!Q172-Q172,0)</f>
        <v>0</v>
      </c>
      <c r="U172" s="182">
        <f>+IF(S172+[1]SADC!S172-[1]SADC!T172-T172&gt;0,S172+[1]SADC!S172-[1]SADC!T172-T172,0)</f>
        <v>3120</v>
      </c>
      <c r="V172" s="182">
        <f>+IF(T172+[1]SADC!T172-[1]SADC!S172-S172&gt;0,T172+[1]SADC!T172-[1]SADC!S172-S172,0)</f>
        <v>0</v>
      </c>
      <c r="W172" s="182">
        <f>+IF(U172+[1]SADC!U172-[1]SADC!V172-V172&gt;0,U172+[1]SADC!U172-[1]SADC!V172-V172,0)</f>
        <v>3120</v>
      </c>
      <c r="X172" s="182">
        <f>+IF(V172+[1]SADC!V172-[1]SADC!U172-U172&gt;0,V172+[1]SADC!V172-[1]SADC!U172-U172,0)</f>
        <v>0</v>
      </c>
      <c r="Y172" s="182">
        <f>+IF(W172+[1]SADC!W172-[1]SADC!X172-X172&gt;0,W172+[1]SADC!W172-[1]SADC!X172-X172,0)</f>
        <v>3120</v>
      </c>
      <c r="Z172" s="182">
        <f>+IF(X172+[1]SADC!X172-[1]SADC!W172-W172&gt;0,X172+[1]SADC!X172-[1]SADC!W172-W172,0)</f>
        <v>0</v>
      </c>
      <c r="AA172" s="182">
        <f>+IF(Y172+[1]SADC!Y172-[1]SADC!Z172-Z172&gt;0,Y172+[1]SADC!Y172-[1]SADC!Z172-Z172,0)</f>
        <v>3120</v>
      </c>
      <c r="AB172" s="182">
        <f>+IF(Z172+[1]SADC!Z172-[1]SADC!Y172-Y172&gt;0,Z172+[1]SADC!Z172-[1]SADC!Y172-Y172,0)</f>
        <v>0</v>
      </c>
      <c r="AC172" s="181"/>
      <c r="AD172" s="182">
        <f t="shared" si="2"/>
        <v>3120</v>
      </c>
      <c r="AE172" s="182">
        <f t="shared" si="2"/>
        <v>0</v>
      </c>
      <c r="AF172" s="181"/>
    </row>
    <row r="173" spans="1:32">
      <c r="A173" s="181" t="str">
        <f>+VLOOKUP(B173,'[1]coa-mgb'!A$1:B$65536,2,0)</f>
        <v xml:space="preserve">Other Maintenance and Operating Expenses  </v>
      </c>
      <c r="B173" s="184" t="s">
        <v>209</v>
      </c>
      <c r="C173" s="182">
        <f>+SUMIFS('[1]50299990 00'!$F$1:$F$65536,'[1]50299990 00'!$D$1:$D$65536,"Beginning Balance",'[1]50299990 00'!$D$1:$D$65536,"Beginning Balance")</f>
        <v>0</v>
      </c>
      <c r="D173" s="182">
        <f>+SUMIFS('[1]50299990 00'!$H$1:$H$65536,'[1]50299990 00'!$D$1:$D$65536,"Beginning Balance",'[1]50299990 00'!$D$1:$D$65536,"Beginning Balance")</f>
        <v>0</v>
      </c>
      <c r="E173" s="182">
        <f>+IF(C173+[1]SADC!C173-[1]SADC!D173-D173&gt;0,C173+[1]SADC!C173-[1]SADC!D173-D173,0)</f>
        <v>0</v>
      </c>
      <c r="F173" s="182">
        <f>+IF(D173+[1]SADC!D173-[1]SADC!C173-C173&gt;0,D173+[1]SADC!D173-[1]SADC!C173-C173,0)</f>
        <v>0</v>
      </c>
      <c r="G173" s="182">
        <f>+IF(E173+[1]SADC!E173-[1]SADC!F173-F173&gt;0,E173+[1]SADC!E173-[1]SADC!F173-F173,0)</f>
        <v>0</v>
      </c>
      <c r="H173" s="182">
        <f>+IF(F173+[1]SADC!F173-[1]SADC!E173-E173&gt;0,F173+[1]SADC!F173-[1]SADC!E173-E173,0)</f>
        <v>0</v>
      </c>
      <c r="I173" s="182">
        <f>+IF(G173+[1]SADC!G173-[1]SADC!H173-H173&gt;0,G173+[1]SADC!G173-[1]SADC!H173-H173,0)</f>
        <v>0</v>
      </c>
      <c r="J173" s="182">
        <f>+IF(H173+[1]SADC!H173-[1]SADC!G173-G173&gt;0,H173+[1]SADC!H173-[1]SADC!G173-G173,0)</f>
        <v>0</v>
      </c>
      <c r="K173" s="182">
        <f>+IF(I173+[1]SADC!I173-[1]SADC!J173-J173&gt;0,I173+[1]SADC!I173-[1]SADC!J173-J173,0)</f>
        <v>0</v>
      </c>
      <c r="L173" s="182">
        <f>+IF(J173+[1]SADC!J173-[1]SADC!I173-I173&gt;0,J173+[1]SADC!J173-[1]SADC!I173-I173,0)</f>
        <v>0</v>
      </c>
      <c r="M173" s="182">
        <f>+IF(K173+[1]SADC!K173-[1]SADC!L173-L173&gt;0,K173+[1]SADC!K173-[1]SADC!L173-L173,0)</f>
        <v>0</v>
      </c>
      <c r="N173" s="182">
        <f>+IF(L173+[1]SADC!L173-[1]SADC!K173-K173&gt;0,L173+[1]SADC!L173-[1]SADC!K173-K173,0)</f>
        <v>0</v>
      </c>
      <c r="O173" s="182">
        <f>+IF(M173+[1]SADC!M173-[1]SADC!N173-N173&gt;0,M173+[1]SADC!M173-[1]SADC!N173-N173,0)</f>
        <v>0</v>
      </c>
      <c r="P173" s="182">
        <f>+IF(N173+[1]SADC!N173-[1]SADC!M173-M173&gt;0,N173+[1]SADC!N173-[1]SADC!M173-M173,0)</f>
        <v>0</v>
      </c>
      <c r="Q173" s="182">
        <f>+IF(O173+[1]SADC!O173-[1]SADC!P173-P173&gt;0,O173+[1]SADC!O173-[1]SADC!P173-P173,0)</f>
        <v>0</v>
      </c>
      <c r="R173" s="182">
        <f>+IF(P173+[1]SADC!P173-[1]SADC!O173-O173&gt;0,P173+[1]SADC!P173-[1]SADC!O173-O173,0)</f>
        <v>0</v>
      </c>
      <c r="S173" s="182">
        <f>+IF(Q173+[1]SADC!Q173-[1]SADC!R173-R173&gt;0,Q173+[1]SADC!Q173-[1]SADC!R173-R173,0)</f>
        <v>0</v>
      </c>
      <c r="T173" s="182">
        <f>+IF(R173+[1]SADC!R173-[1]SADC!Q173-Q173&gt;0,R173+[1]SADC!R173-[1]SADC!Q173-Q173,0)</f>
        <v>0</v>
      </c>
      <c r="U173" s="182">
        <f>+IF(S173+[1]SADC!S173-[1]SADC!T173-T173&gt;0,S173+[1]SADC!S173-[1]SADC!T173-T173,0)</f>
        <v>0</v>
      </c>
      <c r="V173" s="182">
        <f>+IF(T173+[1]SADC!T173-[1]SADC!S173-S173&gt;0,T173+[1]SADC!T173-[1]SADC!S173-S173,0)</f>
        <v>0</v>
      </c>
      <c r="W173" s="182">
        <f>+IF(U173+[1]SADC!U173-[1]SADC!V173-V173&gt;0,U173+[1]SADC!U173-[1]SADC!V173-V173,0)</f>
        <v>0</v>
      </c>
      <c r="X173" s="182">
        <f>+IF(V173+[1]SADC!V173-[1]SADC!U173-U173&gt;0,V173+[1]SADC!V173-[1]SADC!U173-U173,0)</f>
        <v>0</v>
      </c>
      <c r="Y173" s="182">
        <f>+IF(W173+[1]SADC!W173-[1]SADC!X173-X173&gt;0,W173+[1]SADC!W173-[1]SADC!X173-X173,0)</f>
        <v>0</v>
      </c>
      <c r="Z173" s="182">
        <f>+IF(X173+[1]SADC!X173-[1]SADC!W173-W173&gt;0,X173+[1]SADC!X173-[1]SADC!W173-W173,0)</f>
        <v>0</v>
      </c>
      <c r="AA173" s="182">
        <f>+IF(Y173+[1]SADC!Y173-[1]SADC!Z173-Z173&gt;0,Y173+[1]SADC!Y173-[1]SADC!Z173-Z173,0)</f>
        <v>0</v>
      </c>
      <c r="AB173" s="182">
        <f>+IF(Z173+[1]SADC!Z173-[1]SADC!Y173-Y173&gt;0,Z173+[1]SADC!Z173-[1]SADC!Y173-Y173,0)</f>
        <v>0</v>
      </c>
      <c r="AC173" s="181"/>
      <c r="AD173" s="182">
        <f t="shared" si="2"/>
        <v>0</v>
      </c>
      <c r="AE173" s="182">
        <f t="shared" si="2"/>
        <v>0</v>
      </c>
      <c r="AF173" s="181"/>
    </row>
    <row r="174" spans="1:32">
      <c r="A174" s="181" t="str">
        <f>+VLOOKUP(B174,'[1]coa-mgb'!A$1:B$65536,2,0)</f>
        <v>Website Maintenance</v>
      </c>
      <c r="B174" s="184" t="s">
        <v>210</v>
      </c>
      <c r="C174" s="182">
        <f>+SUMIFS('[1]50299990 01'!$F$1:$F$65536,'[1]50299990 01'!$D$1:$D$65536,"Beginning Balance",'[1]50299990 01'!$D$1:$D$65536,"Beginning Balance")</f>
        <v>0</v>
      </c>
      <c r="D174" s="182">
        <f>+SUMIFS('[1]50299990 01'!$H$1:$H$65536,'[1]50299990 01'!$D$1:$D$65536,"Beginning Balance",'[1]50299990 01'!$D$1:$D$65536,"Beginning Balance")</f>
        <v>0</v>
      </c>
      <c r="E174" s="182">
        <f>+IF(C174+[1]SADC!C174-[1]SADC!D174-D174&gt;0,C174+[1]SADC!C174-[1]SADC!D174-D174,0)</f>
        <v>0</v>
      </c>
      <c r="F174" s="182">
        <f>+IF(D174+[1]SADC!D174-[1]SADC!C174-C174&gt;0,D174+[1]SADC!D174-[1]SADC!C174-C174,0)</f>
        <v>0</v>
      </c>
      <c r="G174" s="182">
        <f>+IF(E174+[1]SADC!E174-[1]SADC!F174-F174&gt;0,E174+[1]SADC!E174-[1]SADC!F174-F174,0)</f>
        <v>0</v>
      </c>
      <c r="H174" s="182">
        <f>+IF(F174+[1]SADC!F174-[1]SADC!E174-E174&gt;0,F174+[1]SADC!F174-[1]SADC!E174-E174,0)</f>
        <v>0</v>
      </c>
      <c r="I174" s="182">
        <f>+IF(G174+[1]SADC!G174-[1]SADC!H174-H174&gt;0,G174+[1]SADC!G174-[1]SADC!H174-H174,0)</f>
        <v>0</v>
      </c>
      <c r="J174" s="182">
        <f>+IF(H174+[1]SADC!H174-[1]SADC!G174-G174&gt;0,H174+[1]SADC!H174-[1]SADC!G174-G174,0)</f>
        <v>0</v>
      </c>
      <c r="K174" s="182">
        <f>+IF(I174+[1]SADC!I174-[1]SADC!J174-J174&gt;0,I174+[1]SADC!I174-[1]SADC!J174-J174,0)</f>
        <v>0</v>
      </c>
      <c r="L174" s="182">
        <f>+IF(J174+[1]SADC!J174-[1]SADC!I174-I174&gt;0,J174+[1]SADC!J174-[1]SADC!I174-I174,0)</f>
        <v>0</v>
      </c>
      <c r="M174" s="182">
        <f>+IF(K174+[1]SADC!K174-[1]SADC!L174-L174&gt;0,K174+[1]SADC!K174-[1]SADC!L174-L174,0)</f>
        <v>0</v>
      </c>
      <c r="N174" s="182">
        <f>+IF(L174+[1]SADC!L174-[1]SADC!K174-K174&gt;0,L174+[1]SADC!L174-[1]SADC!K174-K174,0)</f>
        <v>0</v>
      </c>
      <c r="O174" s="182">
        <f>+IF(M174+[1]SADC!M174-[1]SADC!N174-N174&gt;0,M174+[1]SADC!M174-[1]SADC!N174-N174,0)</f>
        <v>0</v>
      </c>
      <c r="P174" s="182">
        <f>+IF(N174+[1]SADC!N174-[1]SADC!M174-M174&gt;0,N174+[1]SADC!N174-[1]SADC!M174-M174,0)</f>
        <v>0</v>
      </c>
      <c r="Q174" s="182">
        <f>+IF(O174+[1]SADC!O174-[1]SADC!P174-P174&gt;0,O174+[1]SADC!O174-[1]SADC!P174-P174,0)</f>
        <v>0</v>
      </c>
      <c r="R174" s="182">
        <f>+IF(P174+[1]SADC!P174-[1]SADC!O174-O174&gt;0,P174+[1]SADC!P174-[1]SADC!O174-O174,0)</f>
        <v>0</v>
      </c>
      <c r="S174" s="182">
        <f>+IF(Q174+[1]SADC!Q174-[1]SADC!R174-R174&gt;0,Q174+[1]SADC!Q174-[1]SADC!R174-R174,0)</f>
        <v>0</v>
      </c>
      <c r="T174" s="182">
        <f>+IF(R174+[1]SADC!R174-[1]SADC!Q174-Q174&gt;0,R174+[1]SADC!R174-[1]SADC!Q174-Q174,0)</f>
        <v>0</v>
      </c>
      <c r="U174" s="182">
        <f>+IF(S174+[1]SADC!S174-[1]SADC!T174-T174&gt;0,S174+[1]SADC!S174-[1]SADC!T174-T174,0)</f>
        <v>0</v>
      </c>
      <c r="V174" s="182">
        <f>+IF(T174+[1]SADC!T174-[1]SADC!S174-S174&gt;0,T174+[1]SADC!T174-[1]SADC!S174-S174,0)</f>
        <v>0</v>
      </c>
      <c r="W174" s="182">
        <f>+IF(U174+[1]SADC!U174-[1]SADC!V174-V174&gt;0,U174+[1]SADC!U174-[1]SADC!V174-V174,0)</f>
        <v>0</v>
      </c>
      <c r="X174" s="182">
        <f>+IF(V174+[1]SADC!V174-[1]SADC!U174-U174&gt;0,V174+[1]SADC!V174-[1]SADC!U174-U174,0)</f>
        <v>0</v>
      </c>
      <c r="Y174" s="182">
        <f>+IF(W174+[1]SADC!W174-[1]SADC!X174-X174&gt;0,W174+[1]SADC!W174-[1]SADC!X174-X174,0)</f>
        <v>0</v>
      </c>
      <c r="Z174" s="182">
        <f>+IF(X174+[1]SADC!X174-[1]SADC!W174-W174&gt;0,X174+[1]SADC!X174-[1]SADC!W174-W174,0)</f>
        <v>0</v>
      </c>
      <c r="AA174" s="182">
        <f>+IF(Y174+[1]SADC!Y174-[1]SADC!Z174-Z174&gt;0,Y174+[1]SADC!Y174-[1]SADC!Z174-Z174,0)</f>
        <v>0</v>
      </c>
      <c r="AB174" s="182">
        <f>+IF(Z174+[1]SADC!Z174-[1]SADC!Y174-Y174&gt;0,Z174+[1]SADC!Z174-[1]SADC!Y174-Y174,0)</f>
        <v>0</v>
      </c>
      <c r="AC174" s="181"/>
      <c r="AD174" s="182">
        <f t="shared" si="2"/>
        <v>0</v>
      </c>
      <c r="AE174" s="182">
        <f t="shared" si="2"/>
        <v>0</v>
      </c>
      <c r="AF174" s="181"/>
    </row>
    <row r="175" spans="1:32">
      <c r="A175" s="181" t="str">
        <f>+VLOOKUP(B175,'[1]coa-mgb'!A$1:B$65536,2,0)</f>
        <v>Depreciation - Land Improvements</v>
      </c>
      <c r="B175" s="184" t="s">
        <v>212</v>
      </c>
      <c r="C175" s="182">
        <f>+SUMIFS('[1]50501020 00'!$F$1:$F$65536,'[1]50501020 00'!$D$1:$D$65536,"Beginning Balance",'[1]50501020 00'!$D$1:$D$65536,"Beginning Balance")</f>
        <v>0</v>
      </c>
      <c r="D175" s="182">
        <f>+SUMIFS('[1]50501020 00'!$H$1:$H$65536,'[1]50501020 00'!$D$1:$D$65536,"Beginning Balance",'[1]50501020 00'!$D$1:$D$65536,"Beginning Balance")</f>
        <v>0</v>
      </c>
      <c r="E175" s="182">
        <f>+IF(C175+[1]SADC!C175-[1]SADC!D175-D175&gt;0,C175+[1]SADC!C175-[1]SADC!D175-D175,0)</f>
        <v>0</v>
      </c>
      <c r="F175" s="182">
        <f>+IF(D175+[1]SADC!D175-[1]SADC!C175-C175&gt;0,D175+[1]SADC!D175-[1]SADC!C175-C175,0)</f>
        <v>0</v>
      </c>
      <c r="G175" s="182">
        <f>+IF(E175+[1]SADC!E175-[1]SADC!F175-F175&gt;0,E175+[1]SADC!E175-[1]SADC!F175-F175,0)</f>
        <v>0</v>
      </c>
      <c r="H175" s="182">
        <f>+IF(F175+[1]SADC!F175-[1]SADC!E175-E175&gt;0,F175+[1]SADC!F175-[1]SADC!E175-E175,0)</f>
        <v>0</v>
      </c>
      <c r="I175" s="182">
        <f>+IF(G175+[1]SADC!G175-[1]SADC!H175-H175&gt;0,G175+[1]SADC!G175-[1]SADC!H175-H175,0)</f>
        <v>0</v>
      </c>
      <c r="J175" s="182">
        <f>+IF(H175+[1]SADC!H175-[1]SADC!G175-G175&gt;0,H175+[1]SADC!H175-[1]SADC!G175-G175,0)</f>
        <v>0</v>
      </c>
      <c r="K175" s="182">
        <f>+IF(I175+[1]SADC!I175-[1]SADC!J175-J175&gt;0,I175+[1]SADC!I175-[1]SADC!J175-J175,0)</f>
        <v>0</v>
      </c>
      <c r="L175" s="182">
        <f>+IF(J175+[1]SADC!J175-[1]SADC!I175-I175&gt;0,J175+[1]SADC!J175-[1]SADC!I175-I175,0)</f>
        <v>0</v>
      </c>
      <c r="M175" s="182">
        <f>+IF(K175+[1]SADC!K175-[1]SADC!L175-L175&gt;0,K175+[1]SADC!K175-[1]SADC!L175-L175,0)</f>
        <v>0</v>
      </c>
      <c r="N175" s="182">
        <f>+IF(L175+[1]SADC!L175-[1]SADC!K175-K175&gt;0,L175+[1]SADC!L175-[1]SADC!K175-K175,0)</f>
        <v>0</v>
      </c>
      <c r="O175" s="182">
        <f>+IF(M175+[1]SADC!M175-[1]SADC!N175-N175&gt;0,M175+[1]SADC!M175-[1]SADC!N175-N175,0)</f>
        <v>0</v>
      </c>
      <c r="P175" s="182">
        <f>+IF(N175+[1]SADC!N175-[1]SADC!M175-M175&gt;0,N175+[1]SADC!N175-[1]SADC!M175-M175,0)</f>
        <v>0</v>
      </c>
      <c r="Q175" s="182">
        <f>+IF(O175+[1]SADC!O175-[1]SADC!P175-P175&gt;0,O175+[1]SADC!O175-[1]SADC!P175-P175,0)</f>
        <v>0</v>
      </c>
      <c r="R175" s="182">
        <f>+IF(P175+[1]SADC!P175-[1]SADC!O175-O175&gt;0,P175+[1]SADC!P175-[1]SADC!O175-O175,0)</f>
        <v>0</v>
      </c>
      <c r="S175" s="182">
        <f>+IF(Q175+[1]SADC!Q175-[1]SADC!R175-R175&gt;0,Q175+[1]SADC!Q175-[1]SADC!R175-R175,0)</f>
        <v>0</v>
      </c>
      <c r="T175" s="182">
        <f>+IF(R175+[1]SADC!R175-[1]SADC!Q175-Q175&gt;0,R175+[1]SADC!R175-[1]SADC!Q175-Q175,0)</f>
        <v>0</v>
      </c>
      <c r="U175" s="182">
        <f>+IF(S175+[1]SADC!S175-[1]SADC!T175-T175&gt;0,S175+[1]SADC!S175-[1]SADC!T175-T175,0)</f>
        <v>0</v>
      </c>
      <c r="V175" s="182">
        <f>+IF(T175+[1]SADC!T175-[1]SADC!S175-S175&gt;0,T175+[1]SADC!T175-[1]SADC!S175-S175,0)</f>
        <v>0</v>
      </c>
      <c r="W175" s="182">
        <f>+IF(U175+[1]SADC!U175-[1]SADC!V175-V175&gt;0,U175+[1]SADC!U175-[1]SADC!V175-V175,0)</f>
        <v>0</v>
      </c>
      <c r="X175" s="182">
        <f>+IF(V175+[1]SADC!V175-[1]SADC!U175-U175&gt;0,V175+[1]SADC!V175-[1]SADC!U175-U175,0)</f>
        <v>0</v>
      </c>
      <c r="Y175" s="182">
        <f>+IF(W175+[1]SADC!W175-[1]SADC!X175-X175&gt;0,W175+[1]SADC!W175-[1]SADC!X175-X175,0)</f>
        <v>0</v>
      </c>
      <c r="Z175" s="182">
        <f>+IF(X175+[1]SADC!X175-[1]SADC!W175-W175&gt;0,X175+[1]SADC!X175-[1]SADC!W175-W175,0)</f>
        <v>0</v>
      </c>
      <c r="AA175" s="182">
        <f>+IF(Y175+[1]SADC!Y175-[1]SADC!Z175-Z175&gt;0,Y175+[1]SADC!Y175-[1]SADC!Z175-Z175,0)</f>
        <v>0</v>
      </c>
      <c r="AB175" s="182">
        <f>+IF(Z175+[1]SADC!Z175-[1]SADC!Y175-Y175&gt;0,Z175+[1]SADC!Z175-[1]SADC!Y175-Y175,0)</f>
        <v>0</v>
      </c>
      <c r="AC175" s="181"/>
      <c r="AD175" s="182">
        <f t="shared" si="2"/>
        <v>0</v>
      </c>
      <c r="AE175" s="182">
        <f t="shared" si="2"/>
        <v>0</v>
      </c>
      <c r="AF175" s="181"/>
    </row>
    <row r="176" spans="1:32">
      <c r="A176" s="181" t="str">
        <f>+VLOOKUP(B176,'[1]coa-mgb'!A$1:B$65536,2,0)</f>
        <v>Depreciation - Other Land Improvements</v>
      </c>
      <c r="B176" s="184" t="s">
        <v>213</v>
      </c>
      <c r="C176" s="182">
        <f>+SUMIFS('[1]50501020 99'!$F$1:$F$65536,'[1]50501020 99'!$D$1:$D$65536,"Beginning Balance",'[1]50501020 99'!$D$1:$D$65536,"Beginning Balance")</f>
        <v>0</v>
      </c>
      <c r="D176" s="182">
        <f>+SUMIFS('[1]50501020 99'!$H$1:$H$65536,'[1]50501020 99'!$D$1:$D$65536,"Beginning Balance",'[1]50501020 99'!$D$1:$D$65536,"Beginning Balance")</f>
        <v>0</v>
      </c>
      <c r="E176" s="182">
        <f>+IF(C176+[1]SADC!C176-[1]SADC!D176-D176&gt;0,C176+[1]SADC!C176-[1]SADC!D176-D176,0)</f>
        <v>196.88</v>
      </c>
      <c r="F176" s="182">
        <f>+IF(D176+[1]SADC!D176-[1]SADC!C176-C176&gt;0,D176+[1]SADC!D176-[1]SADC!C176-C176,0)</f>
        <v>0</v>
      </c>
      <c r="G176" s="182">
        <f>+IF(E176+[1]SADC!E176-[1]SADC!F176-F176&gt;0,E176+[1]SADC!E176-[1]SADC!F176-F176,0)</f>
        <v>393.75</v>
      </c>
      <c r="H176" s="182">
        <f>+IF(F176+[1]SADC!F176-[1]SADC!E176-E176&gt;0,F176+[1]SADC!F176-[1]SADC!E176-E176,0)</f>
        <v>0</v>
      </c>
      <c r="I176" s="182">
        <f>+IF(G176+[1]SADC!G176-[1]SADC!H176-H176&gt;0,G176+[1]SADC!G176-[1]SADC!H176-H176,0)</f>
        <v>590.63</v>
      </c>
      <c r="J176" s="182">
        <f>+IF(H176+[1]SADC!H176-[1]SADC!G176-G176&gt;0,H176+[1]SADC!H176-[1]SADC!G176-G176,0)</f>
        <v>0</v>
      </c>
      <c r="K176" s="182">
        <f>+IF(I176+[1]SADC!I176-[1]SADC!J176-J176&gt;0,I176+[1]SADC!I176-[1]SADC!J176-J176,0)</f>
        <v>590.63</v>
      </c>
      <c r="L176" s="182">
        <f>+IF(J176+[1]SADC!J176-[1]SADC!I176-I176&gt;0,J176+[1]SADC!J176-[1]SADC!I176-I176,0)</f>
        <v>0</v>
      </c>
      <c r="M176" s="182">
        <f>+IF(K176+[1]SADC!K176-[1]SADC!L176-L176&gt;0,K176+[1]SADC!K176-[1]SADC!L176-L176,0)</f>
        <v>590.63</v>
      </c>
      <c r="N176" s="182">
        <f>+IF(L176+[1]SADC!L176-[1]SADC!K176-K176&gt;0,L176+[1]SADC!L176-[1]SADC!K176-K176,0)</f>
        <v>0</v>
      </c>
      <c r="O176" s="182">
        <f>+IF(M176+[1]SADC!M176-[1]SADC!N176-N176&gt;0,M176+[1]SADC!M176-[1]SADC!N176-N176,0)</f>
        <v>590.63</v>
      </c>
      <c r="P176" s="182">
        <f>+IF(N176+[1]SADC!N176-[1]SADC!M176-M176&gt;0,N176+[1]SADC!N176-[1]SADC!M176-M176,0)</f>
        <v>0</v>
      </c>
      <c r="Q176" s="182">
        <f>+IF(O176+[1]SADC!O176-[1]SADC!P176-P176&gt;0,O176+[1]SADC!O176-[1]SADC!P176-P176,0)</f>
        <v>590.63</v>
      </c>
      <c r="R176" s="182">
        <f>+IF(P176+[1]SADC!P176-[1]SADC!O176-O176&gt;0,P176+[1]SADC!P176-[1]SADC!O176-O176,0)</f>
        <v>0</v>
      </c>
      <c r="S176" s="182">
        <f>+IF(Q176+[1]SADC!Q176-[1]SADC!R176-R176&gt;0,Q176+[1]SADC!Q176-[1]SADC!R176-R176,0)</f>
        <v>590.63</v>
      </c>
      <c r="T176" s="182">
        <f>+IF(R176+[1]SADC!R176-[1]SADC!Q176-Q176&gt;0,R176+[1]SADC!R176-[1]SADC!Q176-Q176,0)</f>
        <v>0</v>
      </c>
      <c r="U176" s="182">
        <f>+IF(S176+[1]SADC!S176-[1]SADC!T176-T176&gt;0,S176+[1]SADC!S176-[1]SADC!T176-T176,0)</f>
        <v>590.63</v>
      </c>
      <c r="V176" s="182">
        <f>+IF(T176+[1]SADC!T176-[1]SADC!S176-S176&gt;0,T176+[1]SADC!T176-[1]SADC!S176-S176,0)</f>
        <v>0</v>
      </c>
      <c r="W176" s="182">
        <f>+IF(U176+[1]SADC!U176-[1]SADC!V176-V176&gt;0,U176+[1]SADC!U176-[1]SADC!V176-V176,0)</f>
        <v>590.63</v>
      </c>
      <c r="X176" s="182">
        <f>+IF(V176+[1]SADC!V176-[1]SADC!U176-U176&gt;0,V176+[1]SADC!V176-[1]SADC!U176-U176,0)</f>
        <v>0</v>
      </c>
      <c r="Y176" s="182">
        <f>+IF(W176+[1]SADC!W176-[1]SADC!X176-X176&gt;0,W176+[1]SADC!W176-[1]SADC!X176-X176,0)</f>
        <v>590.63</v>
      </c>
      <c r="Z176" s="182">
        <f>+IF(X176+[1]SADC!X176-[1]SADC!W176-W176&gt;0,X176+[1]SADC!X176-[1]SADC!W176-W176,0)</f>
        <v>0</v>
      </c>
      <c r="AA176" s="182">
        <f>+IF(Y176+[1]SADC!Y176-[1]SADC!Z176-Z176&gt;0,Y176+[1]SADC!Y176-[1]SADC!Z176-Z176,0)</f>
        <v>590.63</v>
      </c>
      <c r="AB176" s="182">
        <f>+IF(Z176+[1]SADC!Z176-[1]SADC!Y176-Y176&gt;0,Z176+[1]SADC!Z176-[1]SADC!Y176-Y176,0)</f>
        <v>0</v>
      </c>
      <c r="AC176" s="181"/>
      <c r="AD176" s="182">
        <f t="shared" si="2"/>
        <v>590.63</v>
      </c>
      <c r="AE176" s="182">
        <f t="shared" si="2"/>
        <v>0</v>
      </c>
      <c r="AF176" s="181"/>
    </row>
    <row r="177" spans="1:32">
      <c r="A177" s="181" t="str">
        <f>+VLOOKUP(B177,'[1]coa-mgb'!A$1:B$65536,2,0)</f>
        <v>Depreciation - Office Buildings  &amp; Other Structures</v>
      </c>
      <c r="B177" s="184" t="s">
        <v>214</v>
      </c>
      <c r="C177" s="182">
        <f>+SUMIFS('[1]50501040 00'!$F$1:$F$65536,'[1]50501040 00'!$D$1:$D$65536,"Beginning Balance",'[1]50501040 00'!$D$1:$D$65536,"Beginning Balance")</f>
        <v>0</v>
      </c>
      <c r="D177" s="182">
        <f>+SUMIFS('[1]50501040 00'!$H$1:$H$65536,'[1]50501040 00'!$D$1:$D$65536,"Beginning Balance",'[1]50501040 00'!$D$1:$D$65536,"Beginning Balance")</f>
        <v>0</v>
      </c>
      <c r="E177" s="182">
        <f>+IF(C177+[1]SADC!C177-[1]SADC!D177-D177&gt;0,C177+[1]SADC!C177-[1]SADC!D177-D177,0)</f>
        <v>20312.419999999998</v>
      </c>
      <c r="F177" s="182">
        <f>+IF(D177+[1]SADC!D177-[1]SADC!C177-C177&gt;0,D177+[1]SADC!D177-[1]SADC!C177-C177,0)</f>
        <v>0</v>
      </c>
      <c r="G177" s="182">
        <f>+IF(E177+[1]SADC!E177-[1]SADC!F177-F177&gt;0,E177+[1]SADC!E177-[1]SADC!F177-F177,0)</f>
        <v>40624.83</v>
      </c>
      <c r="H177" s="182">
        <f>+IF(F177+[1]SADC!F177-[1]SADC!E177-E177&gt;0,F177+[1]SADC!F177-[1]SADC!E177-E177,0)</f>
        <v>0</v>
      </c>
      <c r="I177" s="182">
        <f>+IF(G177+[1]SADC!G177-[1]SADC!H177-H177&gt;0,G177+[1]SADC!G177-[1]SADC!H177-H177,0)</f>
        <v>60937.25</v>
      </c>
      <c r="J177" s="182">
        <f>+IF(H177+[1]SADC!H177-[1]SADC!G177-G177&gt;0,H177+[1]SADC!H177-[1]SADC!G177-G177,0)</f>
        <v>0</v>
      </c>
      <c r="K177" s="182">
        <f>+IF(I177+[1]SADC!I177-[1]SADC!J177-J177&gt;0,I177+[1]SADC!I177-[1]SADC!J177-J177,0)</f>
        <v>60937.25</v>
      </c>
      <c r="L177" s="182">
        <f>+IF(J177+[1]SADC!J177-[1]SADC!I177-I177&gt;0,J177+[1]SADC!J177-[1]SADC!I177-I177,0)</f>
        <v>0</v>
      </c>
      <c r="M177" s="182">
        <f>+IF(K177+[1]SADC!K177-[1]SADC!L177-L177&gt;0,K177+[1]SADC!K177-[1]SADC!L177-L177,0)</f>
        <v>60937.25</v>
      </c>
      <c r="N177" s="182">
        <f>+IF(L177+[1]SADC!L177-[1]SADC!K177-K177&gt;0,L177+[1]SADC!L177-[1]SADC!K177-K177,0)</f>
        <v>0</v>
      </c>
      <c r="O177" s="182">
        <f>+IF(M177+[1]SADC!M177-[1]SADC!N177-N177&gt;0,M177+[1]SADC!M177-[1]SADC!N177-N177,0)</f>
        <v>60937.25</v>
      </c>
      <c r="P177" s="182">
        <f>+IF(N177+[1]SADC!N177-[1]SADC!M177-M177&gt;0,N177+[1]SADC!N177-[1]SADC!M177-M177,0)</f>
        <v>0</v>
      </c>
      <c r="Q177" s="182">
        <f>+IF(O177+[1]SADC!O177-[1]SADC!P177-P177&gt;0,O177+[1]SADC!O177-[1]SADC!P177-P177,0)</f>
        <v>60937.25</v>
      </c>
      <c r="R177" s="182">
        <f>+IF(P177+[1]SADC!P177-[1]SADC!O177-O177&gt;0,P177+[1]SADC!P177-[1]SADC!O177-O177,0)</f>
        <v>0</v>
      </c>
      <c r="S177" s="182">
        <f>+IF(Q177+[1]SADC!Q177-[1]SADC!R177-R177&gt;0,Q177+[1]SADC!Q177-[1]SADC!R177-R177,0)</f>
        <v>60937.25</v>
      </c>
      <c r="T177" s="182">
        <f>+IF(R177+[1]SADC!R177-[1]SADC!Q177-Q177&gt;0,R177+[1]SADC!R177-[1]SADC!Q177-Q177,0)</f>
        <v>0</v>
      </c>
      <c r="U177" s="182">
        <f>+IF(S177+[1]SADC!S177-[1]SADC!T177-T177&gt;0,S177+[1]SADC!S177-[1]SADC!T177-T177,0)</f>
        <v>60937.25</v>
      </c>
      <c r="V177" s="182">
        <f>+IF(T177+[1]SADC!T177-[1]SADC!S177-S177&gt;0,T177+[1]SADC!T177-[1]SADC!S177-S177,0)</f>
        <v>0</v>
      </c>
      <c r="W177" s="182">
        <f>+IF(U177+[1]SADC!U177-[1]SADC!V177-V177&gt;0,U177+[1]SADC!U177-[1]SADC!V177-V177,0)</f>
        <v>60937.25</v>
      </c>
      <c r="X177" s="182">
        <f>+IF(V177+[1]SADC!V177-[1]SADC!U177-U177&gt;0,V177+[1]SADC!V177-[1]SADC!U177-U177,0)</f>
        <v>0</v>
      </c>
      <c r="Y177" s="182">
        <f>+IF(W177+[1]SADC!W177-[1]SADC!X177-X177&gt;0,W177+[1]SADC!W177-[1]SADC!X177-X177,0)</f>
        <v>60937.25</v>
      </c>
      <c r="Z177" s="182">
        <f>+IF(X177+[1]SADC!X177-[1]SADC!W177-W177&gt;0,X177+[1]SADC!X177-[1]SADC!W177-W177,0)</f>
        <v>0</v>
      </c>
      <c r="AA177" s="182">
        <f>+IF(Y177+[1]SADC!Y177-[1]SADC!Z177-Z177&gt;0,Y177+[1]SADC!Y177-[1]SADC!Z177-Z177,0)</f>
        <v>60937.25</v>
      </c>
      <c r="AB177" s="182">
        <f>+IF(Z177+[1]SADC!Z177-[1]SADC!Y177-Y177&gt;0,Z177+[1]SADC!Z177-[1]SADC!Y177-Y177,0)</f>
        <v>0</v>
      </c>
      <c r="AC177" s="181"/>
      <c r="AD177" s="182">
        <f t="shared" si="2"/>
        <v>60937.25</v>
      </c>
      <c r="AE177" s="182">
        <f t="shared" si="2"/>
        <v>0</v>
      </c>
      <c r="AF177" s="181"/>
    </row>
    <row r="178" spans="1:32">
      <c r="A178" s="181" t="str">
        <f>+VLOOKUP(B178,'[1]coa-mgb'!A$1:B$65536,2,0)</f>
        <v>Depreciation - Machinery and Equipment</v>
      </c>
      <c r="B178" s="184" t="s">
        <v>215</v>
      </c>
      <c r="C178" s="182">
        <f>+SUMIFS('[1]50501050 00'!$F$1:$F$65536,'[1]50501050 00'!$D$1:$D$65536,"Beginning Balance",'[1]50501050 00'!$D$1:$D$65536,"Beginning Balance")</f>
        <v>0</v>
      </c>
      <c r="D178" s="182">
        <f>+SUMIFS('[1]50501050 00'!$H$1:$H$65536,'[1]50501050 00'!$D$1:$D$65536,"Beginning Balance",'[1]50501050 00'!$D$1:$D$65536,"Beginning Balance")</f>
        <v>0</v>
      </c>
      <c r="E178" s="182">
        <f>+IF(C178+[1]SADC!C178-[1]SADC!D178-D178&gt;0,C178+[1]SADC!C178-[1]SADC!D178-D178,0)</f>
        <v>0</v>
      </c>
      <c r="F178" s="182">
        <f>+IF(D178+[1]SADC!D178-[1]SADC!C178-C178&gt;0,D178+[1]SADC!D178-[1]SADC!C178-C178,0)</f>
        <v>0</v>
      </c>
      <c r="G178" s="182">
        <f>+IF(E178+[1]SADC!E178-[1]SADC!F178-F178&gt;0,E178+[1]SADC!E178-[1]SADC!F178-F178,0)</f>
        <v>0</v>
      </c>
      <c r="H178" s="182">
        <f>+IF(F178+[1]SADC!F178-[1]SADC!E178-E178&gt;0,F178+[1]SADC!F178-[1]SADC!E178-E178,0)</f>
        <v>0</v>
      </c>
      <c r="I178" s="182">
        <f>+IF(G178+[1]SADC!G178-[1]SADC!H178-H178&gt;0,G178+[1]SADC!G178-[1]SADC!H178-H178,0)</f>
        <v>0</v>
      </c>
      <c r="J178" s="182">
        <f>+IF(H178+[1]SADC!H178-[1]SADC!G178-G178&gt;0,H178+[1]SADC!H178-[1]SADC!G178-G178,0)</f>
        <v>0</v>
      </c>
      <c r="K178" s="182">
        <f>+IF(I178+[1]SADC!I178-[1]SADC!J178-J178&gt;0,I178+[1]SADC!I178-[1]SADC!J178-J178,0)</f>
        <v>0</v>
      </c>
      <c r="L178" s="182">
        <f>+IF(J178+[1]SADC!J178-[1]SADC!I178-I178&gt;0,J178+[1]SADC!J178-[1]SADC!I178-I178,0)</f>
        <v>0</v>
      </c>
      <c r="M178" s="182">
        <f>+IF(K178+[1]SADC!K178-[1]SADC!L178-L178&gt;0,K178+[1]SADC!K178-[1]SADC!L178-L178,0)</f>
        <v>0</v>
      </c>
      <c r="N178" s="182">
        <f>+IF(L178+[1]SADC!L178-[1]SADC!K178-K178&gt;0,L178+[1]SADC!L178-[1]SADC!K178-K178,0)</f>
        <v>0</v>
      </c>
      <c r="O178" s="182">
        <f>+IF(M178+[1]SADC!M178-[1]SADC!N178-N178&gt;0,M178+[1]SADC!M178-[1]SADC!N178-N178,0)</f>
        <v>0</v>
      </c>
      <c r="P178" s="182">
        <f>+IF(N178+[1]SADC!N178-[1]SADC!M178-M178&gt;0,N178+[1]SADC!N178-[1]SADC!M178-M178,0)</f>
        <v>0</v>
      </c>
      <c r="Q178" s="182">
        <f>+IF(O178+[1]SADC!O178-[1]SADC!P178-P178&gt;0,O178+[1]SADC!O178-[1]SADC!P178-P178,0)</f>
        <v>0</v>
      </c>
      <c r="R178" s="182">
        <f>+IF(P178+[1]SADC!P178-[1]SADC!O178-O178&gt;0,P178+[1]SADC!P178-[1]SADC!O178-O178,0)</f>
        <v>0</v>
      </c>
      <c r="S178" s="182">
        <f>+IF(Q178+[1]SADC!Q178-[1]SADC!R178-R178&gt;0,Q178+[1]SADC!Q178-[1]SADC!R178-R178,0)</f>
        <v>0</v>
      </c>
      <c r="T178" s="182">
        <f>+IF(R178+[1]SADC!R178-[1]SADC!Q178-Q178&gt;0,R178+[1]SADC!R178-[1]SADC!Q178-Q178,0)</f>
        <v>0</v>
      </c>
      <c r="U178" s="182">
        <f>+IF(S178+[1]SADC!S178-[1]SADC!T178-T178&gt;0,S178+[1]SADC!S178-[1]SADC!T178-T178,0)</f>
        <v>0</v>
      </c>
      <c r="V178" s="182">
        <f>+IF(T178+[1]SADC!T178-[1]SADC!S178-S178&gt;0,T178+[1]SADC!T178-[1]SADC!S178-S178,0)</f>
        <v>0</v>
      </c>
      <c r="W178" s="182">
        <f>+IF(U178+[1]SADC!U178-[1]SADC!V178-V178&gt;0,U178+[1]SADC!U178-[1]SADC!V178-V178,0)</f>
        <v>0</v>
      </c>
      <c r="X178" s="182">
        <f>+IF(V178+[1]SADC!V178-[1]SADC!U178-U178&gt;0,V178+[1]SADC!V178-[1]SADC!U178-U178,0)</f>
        <v>0</v>
      </c>
      <c r="Y178" s="182">
        <f>+IF(W178+[1]SADC!W178-[1]SADC!X178-X178&gt;0,W178+[1]SADC!W178-[1]SADC!X178-X178,0)</f>
        <v>0</v>
      </c>
      <c r="Z178" s="182">
        <f>+IF(X178+[1]SADC!X178-[1]SADC!W178-W178&gt;0,X178+[1]SADC!X178-[1]SADC!W178-W178,0)</f>
        <v>0</v>
      </c>
      <c r="AA178" s="182">
        <f>+IF(Y178+[1]SADC!Y178-[1]SADC!Z178-Z178&gt;0,Y178+[1]SADC!Y178-[1]SADC!Z178-Z178,0)</f>
        <v>0</v>
      </c>
      <c r="AB178" s="182">
        <f>+IF(Z178+[1]SADC!Z178-[1]SADC!Y178-Y178&gt;0,Z178+[1]SADC!Z178-[1]SADC!Y178-Y178,0)</f>
        <v>0</v>
      </c>
      <c r="AC178" s="181"/>
      <c r="AD178" s="182">
        <f t="shared" si="2"/>
        <v>0</v>
      </c>
      <c r="AE178" s="182">
        <f t="shared" si="2"/>
        <v>0</v>
      </c>
      <c r="AF178" s="181"/>
    </row>
    <row r="179" spans="1:32">
      <c r="A179" s="181" t="str">
        <f>+VLOOKUP(B179,'[1]coa-mgb'!A$1:B$65536,2,0)</f>
        <v>Depreciation - Office Equipment</v>
      </c>
      <c r="B179" s="184" t="s">
        <v>216</v>
      </c>
      <c r="C179" s="182">
        <f>+SUMIFS('[1]50501050 02'!$F$1:$F$65536,'[1]50501050 02'!$D$1:$D$65536,"Beginning Balance",'[1]50501050 02'!$D$1:$D$65536,"Beginning Balance")</f>
        <v>0</v>
      </c>
      <c r="D179" s="182">
        <f>+SUMIFS('[1]50501050 02'!$H$1:$H$65536,'[1]50501050 02'!$D$1:$D$65536,"Beginning Balance",'[1]50501050 02'!$D$1:$D$65536,"Beginning Balance")</f>
        <v>0</v>
      </c>
      <c r="E179" s="182">
        <f>+IF(C179+[1]SADC!C179-[1]SADC!D179-D179&gt;0,C179+[1]SADC!C179-[1]SADC!D179-D179,0)</f>
        <v>5925.08</v>
      </c>
      <c r="F179" s="182">
        <f>+IF(D179+[1]SADC!D179-[1]SADC!C179-C179&gt;0,D179+[1]SADC!D179-[1]SADC!C179-C179,0)</f>
        <v>0</v>
      </c>
      <c r="G179" s="182">
        <f>+IF(E179+[1]SADC!E179-[1]SADC!F179-F179&gt;0,E179+[1]SADC!E179-[1]SADC!F179-F179,0)</f>
        <v>11850.15</v>
      </c>
      <c r="H179" s="182">
        <f>+IF(F179+[1]SADC!F179-[1]SADC!E179-E179&gt;0,F179+[1]SADC!F179-[1]SADC!E179-E179,0)</f>
        <v>0</v>
      </c>
      <c r="I179" s="182">
        <f>+IF(G179+[1]SADC!G179-[1]SADC!H179-H179&gt;0,G179+[1]SADC!G179-[1]SADC!H179-H179,0)</f>
        <v>17775.23</v>
      </c>
      <c r="J179" s="182">
        <f>+IF(H179+[1]SADC!H179-[1]SADC!G179-G179&gt;0,H179+[1]SADC!H179-[1]SADC!G179-G179,0)</f>
        <v>0</v>
      </c>
      <c r="K179" s="182">
        <f>+IF(I179+[1]SADC!I179-[1]SADC!J179-J179&gt;0,I179+[1]SADC!I179-[1]SADC!J179-J179,0)</f>
        <v>17775.23</v>
      </c>
      <c r="L179" s="182">
        <f>+IF(J179+[1]SADC!J179-[1]SADC!I179-I179&gt;0,J179+[1]SADC!J179-[1]SADC!I179-I179,0)</f>
        <v>0</v>
      </c>
      <c r="M179" s="182">
        <f>+IF(K179+[1]SADC!K179-[1]SADC!L179-L179&gt;0,K179+[1]SADC!K179-[1]SADC!L179-L179,0)</f>
        <v>17775.23</v>
      </c>
      <c r="N179" s="182">
        <f>+IF(L179+[1]SADC!L179-[1]SADC!K179-K179&gt;0,L179+[1]SADC!L179-[1]SADC!K179-K179,0)</f>
        <v>0</v>
      </c>
      <c r="O179" s="182">
        <f>+IF(M179+[1]SADC!M179-[1]SADC!N179-N179&gt;0,M179+[1]SADC!M179-[1]SADC!N179-N179,0)</f>
        <v>17775.23</v>
      </c>
      <c r="P179" s="182">
        <f>+IF(N179+[1]SADC!N179-[1]SADC!M179-M179&gt;0,N179+[1]SADC!N179-[1]SADC!M179-M179,0)</f>
        <v>0</v>
      </c>
      <c r="Q179" s="182">
        <f>+IF(O179+[1]SADC!O179-[1]SADC!P179-P179&gt;0,O179+[1]SADC!O179-[1]SADC!P179-P179,0)</f>
        <v>17775.23</v>
      </c>
      <c r="R179" s="182">
        <f>+IF(P179+[1]SADC!P179-[1]SADC!O179-O179&gt;0,P179+[1]SADC!P179-[1]SADC!O179-O179,0)</f>
        <v>0</v>
      </c>
      <c r="S179" s="182">
        <f>+IF(Q179+[1]SADC!Q179-[1]SADC!R179-R179&gt;0,Q179+[1]SADC!Q179-[1]SADC!R179-R179,0)</f>
        <v>17775.23</v>
      </c>
      <c r="T179" s="182">
        <f>+IF(R179+[1]SADC!R179-[1]SADC!Q179-Q179&gt;0,R179+[1]SADC!R179-[1]SADC!Q179-Q179,0)</f>
        <v>0</v>
      </c>
      <c r="U179" s="182">
        <f>+IF(S179+[1]SADC!S179-[1]SADC!T179-T179&gt;0,S179+[1]SADC!S179-[1]SADC!T179-T179,0)</f>
        <v>17775.23</v>
      </c>
      <c r="V179" s="182">
        <f>+IF(T179+[1]SADC!T179-[1]SADC!S179-S179&gt;0,T179+[1]SADC!T179-[1]SADC!S179-S179,0)</f>
        <v>0</v>
      </c>
      <c r="W179" s="182">
        <f>+IF(U179+[1]SADC!U179-[1]SADC!V179-V179&gt;0,U179+[1]SADC!U179-[1]SADC!V179-V179,0)</f>
        <v>17775.23</v>
      </c>
      <c r="X179" s="182">
        <f>+IF(V179+[1]SADC!V179-[1]SADC!U179-U179&gt;0,V179+[1]SADC!V179-[1]SADC!U179-U179,0)</f>
        <v>0</v>
      </c>
      <c r="Y179" s="182">
        <f>+IF(W179+[1]SADC!W179-[1]SADC!X179-X179&gt;0,W179+[1]SADC!W179-[1]SADC!X179-X179,0)</f>
        <v>17775.23</v>
      </c>
      <c r="Z179" s="182">
        <f>+IF(X179+[1]SADC!X179-[1]SADC!W179-W179&gt;0,X179+[1]SADC!X179-[1]SADC!W179-W179,0)</f>
        <v>0</v>
      </c>
      <c r="AA179" s="182">
        <f>+IF(Y179+[1]SADC!Y179-[1]SADC!Z179-Z179&gt;0,Y179+[1]SADC!Y179-[1]SADC!Z179-Z179,0)</f>
        <v>17775.23</v>
      </c>
      <c r="AB179" s="182">
        <f>+IF(Z179+[1]SADC!Z179-[1]SADC!Y179-Y179&gt;0,Z179+[1]SADC!Z179-[1]SADC!Y179-Y179,0)</f>
        <v>0</v>
      </c>
      <c r="AC179" s="181"/>
      <c r="AD179" s="182">
        <f t="shared" si="2"/>
        <v>17775.23</v>
      </c>
      <c r="AE179" s="182">
        <f t="shared" si="2"/>
        <v>0</v>
      </c>
      <c r="AF179" s="181"/>
    </row>
    <row r="180" spans="1:32">
      <c r="A180" s="181" t="str">
        <f>+VLOOKUP(B180,'[1]coa-mgb'!A$1:B$65536,2,0)</f>
        <v>Depreciation - ICT Equipment</v>
      </c>
      <c r="B180" s="184" t="s">
        <v>217</v>
      </c>
      <c r="C180" s="182">
        <f>+SUMIFS('[1]50501050 03'!$F$1:$F$65536,'[1]50501050 03'!$D$1:$D$65536,"Beginning Balance",'[1]50501050 03'!$D$1:$D$65536,"Beginning Balance")</f>
        <v>0</v>
      </c>
      <c r="D180" s="182">
        <f>+SUMIFS('[1]50501050 03'!$H$1:$H$65536,'[1]50501050 03'!$D$1:$D$65536,"Beginning Balance",'[1]50501050 03'!$D$1:$D$65536,"Beginning Balance")</f>
        <v>0</v>
      </c>
      <c r="E180" s="182">
        <f>+IF(C180+[1]SADC!C180-[1]SADC!D180-D180&gt;0,C180+[1]SADC!C180-[1]SADC!D180-D180,0)</f>
        <v>24251.439999999999</v>
      </c>
      <c r="F180" s="182">
        <f>+IF(D180+[1]SADC!D180-[1]SADC!C180-C180&gt;0,D180+[1]SADC!D180-[1]SADC!C180-C180,0)</f>
        <v>0</v>
      </c>
      <c r="G180" s="182">
        <f>+IF(E180+[1]SADC!E180-[1]SADC!F180-F180&gt;0,E180+[1]SADC!E180-[1]SADC!F180-F180,0)</f>
        <v>48502.46</v>
      </c>
      <c r="H180" s="182">
        <f>+IF(F180+[1]SADC!F180-[1]SADC!E180-E180&gt;0,F180+[1]SADC!F180-[1]SADC!E180-E180,0)</f>
        <v>0</v>
      </c>
      <c r="I180" s="182">
        <f>+IF(G180+[1]SADC!G180-[1]SADC!H180-H180&gt;0,G180+[1]SADC!G180-[1]SADC!H180-H180,0)</f>
        <v>72753.899999999994</v>
      </c>
      <c r="J180" s="182">
        <f>+IF(H180+[1]SADC!H180-[1]SADC!G180-G180&gt;0,H180+[1]SADC!H180-[1]SADC!G180-G180,0)</f>
        <v>0</v>
      </c>
      <c r="K180" s="182">
        <f>+IF(I180+[1]SADC!I180-[1]SADC!J180-J180&gt;0,I180+[1]SADC!I180-[1]SADC!J180-J180,0)</f>
        <v>72753.899999999994</v>
      </c>
      <c r="L180" s="182">
        <f>+IF(J180+[1]SADC!J180-[1]SADC!I180-I180&gt;0,J180+[1]SADC!J180-[1]SADC!I180-I180,0)</f>
        <v>0</v>
      </c>
      <c r="M180" s="182">
        <f>+IF(K180+[1]SADC!K180-[1]SADC!L180-L180&gt;0,K180+[1]SADC!K180-[1]SADC!L180-L180,0)</f>
        <v>72753.899999999994</v>
      </c>
      <c r="N180" s="182">
        <f>+IF(L180+[1]SADC!L180-[1]SADC!K180-K180&gt;0,L180+[1]SADC!L180-[1]SADC!K180-K180,0)</f>
        <v>0</v>
      </c>
      <c r="O180" s="182">
        <f>+IF(M180+[1]SADC!M180-[1]SADC!N180-N180&gt;0,M180+[1]SADC!M180-[1]SADC!N180-N180,0)</f>
        <v>72753.899999999994</v>
      </c>
      <c r="P180" s="182">
        <f>+IF(N180+[1]SADC!N180-[1]SADC!M180-M180&gt;0,N180+[1]SADC!N180-[1]SADC!M180-M180,0)</f>
        <v>0</v>
      </c>
      <c r="Q180" s="182">
        <f>+IF(O180+[1]SADC!O180-[1]SADC!P180-P180&gt;0,O180+[1]SADC!O180-[1]SADC!P180-P180,0)</f>
        <v>72753.899999999994</v>
      </c>
      <c r="R180" s="182">
        <f>+IF(P180+[1]SADC!P180-[1]SADC!O180-O180&gt;0,P180+[1]SADC!P180-[1]SADC!O180-O180,0)</f>
        <v>0</v>
      </c>
      <c r="S180" s="182">
        <f>+IF(Q180+[1]SADC!Q180-[1]SADC!R180-R180&gt;0,Q180+[1]SADC!Q180-[1]SADC!R180-R180,0)</f>
        <v>72753.899999999994</v>
      </c>
      <c r="T180" s="182">
        <f>+IF(R180+[1]SADC!R180-[1]SADC!Q180-Q180&gt;0,R180+[1]SADC!R180-[1]SADC!Q180-Q180,0)</f>
        <v>0</v>
      </c>
      <c r="U180" s="182">
        <f>+IF(S180+[1]SADC!S180-[1]SADC!T180-T180&gt;0,S180+[1]SADC!S180-[1]SADC!T180-T180,0)</f>
        <v>72753.899999999994</v>
      </c>
      <c r="V180" s="182">
        <f>+IF(T180+[1]SADC!T180-[1]SADC!S180-S180&gt;0,T180+[1]SADC!T180-[1]SADC!S180-S180,0)</f>
        <v>0</v>
      </c>
      <c r="W180" s="182">
        <f>+IF(U180+[1]SADC!U180-[1]SADC!V180-V180&gt;0,U180+[1]SADC!U180-[1]SADC!V180-V180,0)</f>
        <v>72753.899999999994</v>
      </c>
      <c r="X180" s="182">
        <f>+IF(V180+[1]SADC!V180-[1]SADC!U180-U180&gt;0,V180+[1]SADC!V180-[1]SADC!U180-U180,0)</f>
        <v>0</v>
      </c>
      <c r="Y180" s="182">
        <f>+IF(W180+[1]SADC!W180-[1]SADC!X180-X180&gt;0,W180+[1]SADC!W180-[1]SADC!X180-X180,0)</f>
        <v>72753.899999999994</v>
      </c>
      <c r="Z180" s="182">
        <f>+IF(X180+[1]SADC!X180-[1]SADC!W180-W180&gt;0,X180+[1]SADC!X180-[1]SADC!W180-W180,0)</f>
        <v>0</v>
      </c>
      <c r="AA180" s="182">
        <f>+IF(Y180+[1]SADC!Y180-[1]SADC!Z180-Z180&gt;0,Y180+[1]SADC!Y180-[1]SADC!Z180-Z180,0)</f>
        <v>72753.899999999994</v>
      </c>
      <c r="AB180" s="182">
        <f>+IF(Z180+[1]SADC!Z180-[1]SADC!Y180-Y180&gt;0,Z180+[1]SADC!Z180-[1]SADC!Y180-Y180,0)</f>
        <v>0</v>
      </c>
      <c r="AC180" s="181"/>
      <c r="AD180" s="182">
        <f t="shared" si="2"/>
        <v>72753.899999999994</v>
      </c>
      <c r="AE180" s="182">
        <f t="shared" si="2"/>
        <v>0</v>
      </c>
      <c r="AF180" s="181"/>
    </row>
    <row r="181" spans="1:32">
      <c r="A181" s="181" t="str">
        <f>+VLOOKUP(B181,'[1]coa-mgb'!A$1:B$65536,2,0)</f>
        <v>Depreciation - Communication Equipment</v>
      </c>
      <c r="B181" s="184" t="s">
        <v>218</v>
      </c>
      <c r="C181" s="182">
        <f>+SUMIFS('[1]50501050 07'!$F$1:$F$65536,'[1]50501050 07'!$D$1:$D$65536,"Beginning Balance",'[1]50501050 07'!$D$1:$D$65536,"Beginning Balance")</f>
        <v>0</v>
      </c>
      <c r="D181" s="182">
        <f>+SUMIFS('[1]50501050 07'!$H$1:$H$65536,'[1]50501050 07'!$D$1:$D$65536,"Beginning Balance",'[1]50501050 07'!$D$1:$D$65536,"Beginning Balance")</f>
        <v>0</v>
      </c>
      <c r="E181" s="182">
        <f>+IF(C181+[1]SADC!C181-[1]SADC!D181-D181&gt;0,C181+[1]SADC!C181-[1]SADC!D181-D181,0)</f>
        <v>223.25</v>
      </c>
      <c r="F181" s="182">
        <f>+IF(D181+[1]SADC!D181-[1]SADC!C181-C181&gt;0,D181+[1]SADC!D181-[1]SADC!C181-C181,0)</f>
        <v>0</v>
      </c>
      <c r="G181" s="182">
        <f>+IF(E181+[1]SADC!E181-[1]SADC!F181-F181&gt;0,E181+[1]SADC!E181-[1]SADC!F181-F181,0)</f>
        <v>446.48</v>
      </c>
      <c r="H181" s="182">
        <f>+IF(F181+[1]SADC!F181-[1]SADC!E181-E181&gt;0,F181+[1]SADC!F181-[1]SADC!E181-E181,0)</f>
        <v>0</v>
      </c>
      <c r="I181" s="182">
        <f>+IF(G181+[1]SADC!G181-[1]SADC!H181-H181&gt;0,G181+[1]SADC!G181-[1]SADC!H181-H181,0)</f>
        <v>669.72</v>
      </c>
      <c r="J181" s="182">
        <f>+IF(H181+[1]SADC!H181-[1]SADC!G181-G181&gt;0,H181+[1]SADC!H181-[1]SADC!G181-G181,0)</f>
        <v>0</v>
      </c>
      <c r="K181" s="182">
        <f>+IF(I181+[1]SADC!I181-[1]SADC!J181-J181&gt;0,I181+[1]SADC!I181-[1]SADC!J181-J181,0)</f>
        <v>669.72</v>
      </c>
      <c r="L181" s="182">
        <f>+IF(J181+[1]SADC!J181-[1]SADC!I181-I181&gt;0,J181+[1]SADC!J181-[1]SADC!I181-I181,0)</f>
        <v>0</v>
      </c>
      <c r="M181" s="182">
        <f>+IF(K181+[1]SADC!K181-[1]SADC!L181-L181&gt;0,K181+[1]SADC!K181-[1]SADC!L181-L181,0)</f>
        <v>669.72</v>
      </c>
      <c r="N181" s="182">
        <f>+IF(L181+[1]SADC!L181-[1]SADC!K181-K181&gt;0,L181+[1]SADC!L181-[1]SADC!K181-K181,0)</f>
        <v>0</v>
      </c>
      <c r="O181" s="182">
        <f>+IF(M181+[1]SADC!M181-[1]SADC!N181-N181&gt;0,M181+[1]SADC!M181-[1]SADC!N181-N181,0)</f>
        <v>669.72</v>
      </c>
      <c r="P181" s="182">
        <f>+IF(N181+[1]SADC!N181-[1]SADC!M181-M181&gt;0,N181+[1]SADC!N181-[1]SADC!M181-M181,0)</f>
        <v>0</v>
      </c>
      <c r="Q181" s="182">
        <f>+IF(O181+[1]SADC!O181-[1]SADC!P181-P181&gt;0,O181+[1]SADC!O181-[1]SADC!P181-P181,0)</f>
        <v>669.72</v>
      </c>
      <c r="R181" s="182">
        <f>+IF(P181+[1]SADC!P181-[1]SADC!O181-O181&gt;0,P181+[1]SADC!P181-[1]SADC!O181-O181,0)</f>
        <v>0</v>
      </c>
      <c r="S181" s="182">
        <f>+IF(Q181+[1]SADC!Q181-[1]SADC!R181-R181&gt;0,Q181+[1]SADC!Q181-[1]SADC!R181-R181,0)</f>
        <v>669.72</v>
      </c>
      <c r="T181" s="182">
        <f>+IF(R181+[1]SADC!R181-[1]SADC!Q181-Q181&gt;0,R181+[1]SADC!R181-[1]SADC!Q181-Q181,0)</f>
        <v>0</v>
      </c>
      <c r="U181" s="182">
        <f>+IF(S181+[1]SADC!S181-[1]SADC!T181-T181&gt;0,S181+[1]SADC!S181-[1]SADC!T181-T181,0)</f>
        <v>669.72</v>
      </c>
      <c r="V181" s="182">
        <f>+IF(T181+[1]SADC!T181-[1]SADC!S181-S181&gt;0,T181+[1]SADC!T181-[1]SADC!S181-S181,0)</f>
        <v>0</v>
      </c>
      <c r="W181" s="182">
        <f>+IF(U181+[1]SADC!U181-[1]SADC!V181-V181&gt;0,U181+[1]SADC!U181-[1]SADC!V181-V181,0)</f>
        <v>669.72</v>
      </c>
      <c r="X181" s="182">
        <f>+IF(V181+[1]SADC!V181-[1]SADC!U181-U181&gt;0,V181+[1]SADC!V181-[1]SADC!U181-U181,0)</f>
        <v>0</v>
      </c>
      <c r="Y181" s="182">
        <f>+IF(W181+[1]SADC!W181-[1]SADC!X181-X181&gt;0,W181+[1]SADC!W181-[1]SADC!X181-X181,0)</f>
        <v>669.72</v>
      </c>
      <c r="Z181" s="182">
        <f>+IF(X181+[1]SADC!X181-[1]SADC!W181-W181&gt;0,X181+[1]SADC!X181-[1]SADC!W181-W181,0)</f>
        <v>0</v>
      </c>
      <c r="AA181" s="182">
        <f>+IF(Y181+[1]SADC!Y181-[1]SADC!Z181-Z181&gt;0,Y181+[1]SADC!Y181-[1]SADC!Z181-Z181,0)</f>
        <v>669.72</v>
      </c>
      <c r="AB181" s="182">
        <f>+IF(Z181+[1]SADC!Z181-[1]SADC!Y181-Y181&gt;0,Z181+[1]SADC!Z181-[1]SADC!Y181-Y181,0)</f>
        <v>0</v>
      </c>
      <c r="AC181" s="181"/>
      <c r="AD181" s="182">
        <f t="shared" si="2"/>
        <v>669.72</v>
      </c>
      <c r="AE181" s="182">
        <f t="shared" si="2"/>
        <v>0</v>
      </c>
      <c r="AF181" s="181"/>
    </row>
    <row r="182" spans="1:32">
      <c r="A182" s="181" t="str">
        <f>+VLOOKUP(B182,'[1]coa-mgb'!A$1:B$65536,2,0)</f>
        <v>Depreciation - Construction and Heavy Equipt.</v>
      </c>
      <c r="B182" s="184" t="s">
        <v>219</v>
      </c>
      <c r="C182" s="182">
        <f>+SUMIFS('[1]50501050 08'!$F$1:$F$65536,'[1]50501050 08'!$D$1:$D$65536,"Beginning Balance",'[1]50501050 08'!$D$1:$D$65536,"Beginning Balance")</f>
        <v>0</v>
      </c>
      <c r="D182" s="182">
        <f>+SUMIFS('[1]50501050 08'!$H$1:$H$65536,'[1]50501050 08'!$D$1:$D$65536,"Beginning Balance",'[1]50501050 08'!$D$1:$D$65536,"Beginning Balance")</f>
        <v>0</v>
      </c>
      <c r="E182" s="182">
        <f>+IF(C182+[1]SADC!C182-[1]SADC!D182-D182&gt;0,C182+[1]SADC!C182-[1]SADC!D182-D182,0)</f>
        <v>0</v>
      </c>
      <c r="F182" s="182">
        <f>+IF(D182+[1]SADC!D182-[1]SADC!C182-C182&gt;0,D182+[1]SADC!D182-[1]SADC!C182-C182,0)</f>
        <v>0</v>
      </c>
      <c r="G182" s="182">
        <f>+IF(E182+[1]SADC!E182-[1]SADC!F182-F182&gt;0,E182+[1]SADC!E182-[1]SADC!F182-F182,0)</f>
        <v>0</v>
      </c>
      <c r="H182" s="182">
        <f>+IF(F182+[1]SADC!F182-[1]SADC!E182-E182&gt;0,F182+[1]SADC!F182-[1]SADC!E182-E182,0)</f>
        <v>0</v>
      </c>
      <c r="I182" s="182">
        <f>+IF(G182+[1]SADC!G182-[1]SADC!H182-H182&gt;0,G182+[1]SADC!G182-[1]SADC!H182-H182,0)</f>
        <v>0</v>
      </c>
      <c r="J182" s="182">
        <f>+IF(H182+[1]SADC!H182-[1]SADC!G182-G182&gt;0,H182+[1]SADC!H182-[1]SADC!G182-G182,0)</f>
        <v>0</v>
      </c>
      <c r="K182" s="182">
        <f>+IF(I182+[1]SADC!I182-[1]SADC!J182-J182&gt;0,I182+[1]SADC!I182-[1]SADC!J182-J182,0)</f>
        <v>0</v>
      </c>
      <c r="L182" s="182">
        <f>+IF(J182+[1]SADC!J182-[1]SADC!I182-I182&gt;0,J182+[1]SADC!J182-[1]SADC!I182-I182,0)</f>
        <v>0</v>
      </c>
      <c r="M182" s="182">
        <f>+IF(K182+[1]SADC!K182-[1]SADC!L182-L182&gt;0,K182+[1]SADC!K182-[1]SADC!L182-L182,0)</f>
        <v>0</v>
      </c>
      <c r="N182" s="182">
        <f>+IF(L182+[1]SADC!L182-[1]SADC!K182-K182&gt;0,L182+[1]SADC!L182-[1]SADC!K182-K182,0)</f>
        <v>0</v>
      </c>
      <c r="O182" s="182">
        <f>+IF(M182+[1]SADC!M182-[1]SADC!N182-N182&gt;0,M182+[1]SADC!M182-[1]SADC!N182-N182,0)</f>
        <v>0</v>
      </c>
      <c r="P182" s="182">
        <f>+IF(N182+[1]SADC!N182-[1]SADC!M182-M182&gt;0,N182+[1]SADC!N182-[1]SADC!M182-M182,0)</f>
        <v>0</v>
      </c>
      <c r="Q182" s="182">
        <f>+IF(O182+[1]SADC!O182-[1]SADC!P182-P182&gt;0,O182+[1]SADC!O182-[1]SADC!P182-P182,0)</f>
        <v>0</v>
      </c>
      <c r="R182" s="182">
        <f>+IF(P182+[1]SADC!P182-[1]SADC!O182-O182&gt;0,P182+[1]SADC!P182-[1]SADC!O182-O182,0)</f>
        <v>0</v>
      </c>
      <c r="S182" s="182">
        <f>+IF(Q182+[1]SADC!Q182-[1]SADC!R182-R182&gt;0,Q182+[1]SADC!Q182-[1]SADC!R182-R182,0)</f>
        <v>0</v>
      </c>
      <c r="T182" s="182">
        <f>+IF(R182+[1]SADC!R182-[1]SADC!Q182-Q182&gt;0,R182+[1]SADC!R182-[1]SADC!Q182-Q182,0)</f>
        <v>0</v>
      </c>
      <c r="U182" s="182">
        <f>+IF(S182+[1]SADC!S182-[1]SADC!T182-T182&gt;0,S182+[1]SADC!S182-[1]SADC!T182-T182,0)</f>
        <v>0</v>
      </c>
      <c r="V182" s="182">
        <f>+IF(T182+[1]SADC!T182-[1]SADC!S182-S182&gt;0,T182+[1]SADC!T182-[1]SADC!S182-S182,0)</f>
        <v>0</v>
      </c>
      <c r="W182" s="182">
        <f>+IF(U182+[1]SADC!U182-[1]SADC!V182-V182&gt;0,U182+[1]SADC!U182-[1]SADC!V182-V182,0)</f>
        <v>0</v>
      </c>
      <c r="X182" s="182">
        <f>+IF(V182+[1]SADC!V182-[1]SADC!U182-U182&gt;0,V182+[1]SADC!V182-[1]SADC!U182-U182,0)</f>
        <v>0</v>
      </c>
      <c r="Y182" s="182">
        <f>+IF(W182+[1]SADC!W182-[1]SADC!X182-X182&gt;0,W182+[1]SADC!W182-[1]SADC!X182-X182,0)</f>
        <v>0</v>
      </c>
      <c r="Z182" s="182">
        <f>+IF(X182+[1]SADC!X182-[1]SADC!W182-W182&gt;0,X182+[1]SADC!X182-[1]SADC!W182-W182,0)</f>
        <v>0</v>
      </c>
      <c r="AA182" s="182">
        <f>+IF(Y182+[1]SADC!Y182-[1]SADC!Z182-Z182&gt;0,Y182+[1]SADC!Y182-[1]SADC!Z182-Z182,0)</f>
        <v>0</v>
      </c>
      <c r="AB182" s="182">
        <f>+IF(Z182+[1]SADC!Z182-[1]SADC!Y182-Y182&gt;0,Z182+[1]SADC!Z182-[1]SADC!Y182-Y182,0)</f>
        <v>0</v>
      </c>
      <c r="AC182" s="181"/>
      <c r="AD182" s="182">
        <f t="shared" si="2"/>
        <v>0</v>
      </c>
      <c r="AE182" s="182">
        <f t="shared" si="2"/>
        <v>0</v>
      </c>
      <c r="AF182" s="181"/>
    </row>
    <row r="183" spans="1:32">
      <c r="A183" s="181" t="str">
        <f>+VLOOKUP(B183,'[1]coa-mgb'!A$1:B$65536,2,0)</f>
        <v>Depreciation - Disaster Response and Rescue Equipment</v>
      </c>
      <c r="B183" s="184" t="s">
        <v>220</v>
      </c>
      <c r="C183" s="182">
        <f>+SUMIFS('[1]50501050 09'!$F$1:$F$65536,'[1]50501050 09'!$D$1:$D$65536,"Beginning Balance",'[1]50501050 09'!$D$1:$D$65536,"Beginning Balance")</f>
        <v>0</v>
      </c>
      <c r="D183" s="182">
        <f>+SUMIFS('[1]50501050 09'!$H$1:$H$65536,'[1]50501050 09'!$D$1:$D$65536,"Beginning Balance",'[1]50501050 09'!$D$1:$D$65536,"Beginning Balance")</f>
        <v>0</v>
      </c>
      <c r="E183" s="182">
        <f>+IF(C183+[1]SADC!C183-[1]SADC!D183-D183&gt;0,C183+[1]SADC!C183-[1]SADC!D183-D183,0)</f>
        <v>0</v>
      </c>
      <c r="F183" s="182">
        <f>+IF(D183+[1]SADC!D183-[1]SADC!C183-C183&gt;0,D183+[1]SADC!D183-[1]SADC!C183-C183,0)</f>
        <v>0</v>
      </c>
      <c r="G183" s="182">
        <f>+IF(E183+[1]SADC!E183-[1]SADC!F183-F183&gt;0,E183+[1]SADC!E183-[1]SADC!F183-F183,0)</f>
        <v>0</v>
      </c>
      <c r="H183" s="182">
        <f>+IF(F183+[1]SADC!F183-[1]SADC!E183-E183&gt;0,F183+[1]SADC!F183-[1]SADC!E183-E183,0)</f>
        <v>0</v>
      </c>
      <c r="I183" s="182">
        <f>+IF(G183+[1]SADC!G183-[1]SADC!H183-H183&gt;0,G183+[1]SADC!G183-[1]SADC!H183-H183,0)</f>
        <v>0</v>
      </c>
      <c r="J183" s="182">
        <f>+IF(H183+[1]SADC!H183-[1]SADC!G183-G183&gt;0,H183+[1]SADC!H183-[1]SADC!G183-G183,0)</f>
        <v>0</v>
      </c>
      <c r="K183" s="182">
        <f>+IF(I183+[1]SADC!I183-[1]SADC!J183-J183&gt;0,I183+[1]SADC!I183-[1]SADC!J183-J183,0)</f>
        <v>0</v>
      </c>
      <c r="L183" s="182">
        <f>+IF(J183+[1]SADC!J183-[1]SADC!I183-I183&gt;0,J183+[1]SADC!J183-[1]SADC!I183-I183,0)</f>
        <v>0</v>
      </c>
      <c r="M183" s="182">
        <f>+IF(K183+[1]SADC!K183-[1]SADC!L183-L183&gt;0,K183+[1]SADC!K183-[1]SADC!L183-L183,0)</f>
        <v>0</v>
      </c>
      <c r="N183" s="182">
        <f>+IF(L183+[1]SADC!L183-[1]SADC!K183-K183&gt;0,L183+[1]SADC!L183-[1]SADC!K183-K183,0)</f>
        <v>0</v>
      </c>
      <c r="O183" s="182">
        <f>+IF(M183+[1]SADC!M183-[1]SADC!N183-N183&gt;0,M183+[1]SADC!M183-[1]SADC!N183-N183,0)</f>
        <v>0</v>
      </c>
      <c r="P183" s="182">
        <f>+IF(N183+[1]SADC!N183-[1]SADC!M183-M183&gt;0,N183+[1]SADC!N183-[1]SADC!M183-M183,0)</f>
        <v>0</v>
      </c>
      <c r="Q183" s="182">
        <f>+IF(O183+[1]SADC!O183-[1]SADC!P183-P183&gt;0,O183+[1]SADC!O183-[1]SADC!P183-P183,0)</f>
        <v>0</v>
      </c>
      <c r="R183" s="182">
        <f>+IF(P183+[1]SADC!P183-[1]SADC!O183-O183&gt;0,P183+[1]SADC!P183-[1]SADC!O183-O183,0)</f>
        <v>0</v>
      </c>
      <c r="S183" s="182">
        <f>+IF(Q183+[1]SADC!Q183-[1]SADC!R183-R183&gt;0,Q183+[1]SADC!Q183-[1]SADC!R183-R183,0)</f>
        <v>0</v>
      </c>
      <c r="T183" s="182">
        <f>+IF(R183+[1]SADC!R183-[1]SADC!Q183-Q183&gt;0,R183+[1]SADC!R183-[1]SADC!Q183-Q183,0)</f>
        <v>0</v>
      </c>
      <c r="U183" s="182">
        <f>+IF(S183+[1]SADC!S183-[1]SADC!T183-T183&gt;0,S183+[1]SADC!S183-[1]SADC!T183-T183,0)</f>
        <v>0</v>
      </c>
      <c r="V183" s="182">
        <f>+IF(T183+[1]SADC!T183-[1]SADC!S183-S183&gt;0,T183+[1]SADC!T183-[1]SADC!S183-S183,0)</f>
        <v>0</v>
      </c>
      <c r="W183" s="182">
        <f>+IF(U183+[1]SADC!U183-[1]SADC!V183-V183&gt;0,U183+[1]SADC!U183-[1]SADC!V183-V183,0)</f>
        <v>0</v>
      </c>
      <c r="X183" s="182">
        <f>+IF(V183+[1]SADC!V183-[1]SADC!U183-U183&gt;0,V183+[1]SADC!V183-[1]SADC!U183-U183,0)</f>
        <v>0</v>
      </c>
      <c r="Y183" s="182">
        <f>+IF(W183+[1]SADC!W183-[1]SADC!X183-X183&gt;0,W183+[1]SADC!W183-[1]SADC!X183-X183,0)</f>
        <v>0</v>
      </c>
      <c r="Z183" s="182">
        <f>+IF(X183+[1]SADC!X183-[1]SADC!W183-W183&gt;0,X183+[1]SADC!X183-[1]SADC!W183-W183,0)</f>
        <v>0</v>
      </c>
      <c r="AA183" s="182">
        <f>+IF(Y183+[1]SADC!Y183-[1]SADC!Z183-Z183&gt;0,Y183+[1]SADC!Y183-[1]SADC!Z183-Z183,0)</f>
        <v>0</v>
      </c>
      <c r="AB183" s="182">
        <f>+IF(Z183+[1]SADC!Z183-[1]SADC!Y183-Y183&gt;0,Z183+[1]SADC!Z183-[1]SADC!Y183-Y183,0)</f>
        <v>0</v>
      </c>
      <c r="AC183" s="181"/>
      <c r="AD183" s="182">
        <f t="shared" si="2"/>
        <v>0</v>
      </c>
      <c r="AE183" s="182">
        <f t="shared" si="2"/>
        <v>0</v>
      </c>
      <c r="AF183" s="181"/>
    </row>
    <row r="184" spans="1:32">
      <c r="A184" s="181" t="str">
        <f>+VLOOKUP(B184,'[1]coa-mgb'!A$1:B$65536,2,0)</f>
        <v>Depreciation - Military and Police Equipment</v>
      </c>
      <c r="B184" s="184" t="s">
        <v>221</v>
      </c>
      <c r="C184" s="182">
        <f>+SUMIFS('[1]50501050 10'!$F$1:$F$65536,'[1]50501050 10'!$D$1:$D$65536,"Beginning Balance",'[1]50501050 10'!$D$1:$D$65536,"Beginning Balance")</f>
        <v>0</v>
      </c>
      <c r="D184" s="182">
        <f>+SUMIFS('[1]50501050 10'!$H$1:$H$65536,'[1]50501050 10'!$D$1:$D$65536,"Beginning Balance",'[1]50501050 10'!$D$1:$D$65536,"Beginning Balance")</f>
        <v>0</v>
      </c>
      <c r="E184" s="182">
        <f>+IF(C184+[1]SADC!C184-[1]SADC!D184-D184&gt;0,C184+[1]SADC!C184-[1]SADC!D184-D184,0)</f>
        <v>0</v>
      </c>
      <c r="F184" s="182">
        <f>+IF(D184+[1]SADC!D184-[1]SADC!C184-C184&gt;0,D184+[1]SADC!D184-[1]SADC!C184-C184,0)</f>
        <v>0</v>
      </c>
      <c r="G184" s="182">
        <f>+IF(E184+[1]SADC!E184-[1]SADC!F184-F184&gt;0,E184+[1]SADC!E184-[1]SADC!F184-F184,0)</f>
        <v>0</v>
      </c>
      <c r="H184" s="182">
        <f>+IF(F184+[1]SADC!F184-[1]SADC!E184-E184&gt;0,F184+[1]SADC!F184-[1]SADC!E184-E184,0)</f>
        <v>0</v>
      </c>
      <c r="I184" s="182">
        <f>+IF(G184+[1]SADC!G184-[1]SADC!H184-H184&gt;0,G184+[1]SADC!G184-[1]SADC!H184-H184,0)</f>
        <v>0</v>
      </c>
      <c r="J184" s="182">
        <f>+IF(H184+[1]SADC!H184-[1]SADC!G184-G184&gt;0,H184+[1]SADC!H184-[1]SADC!G184-G184,0)</f>
        <v>0</v>
      </c>
      <c r="K184" s="182">
        <f>+IF(I184+[1]SADC!I184-[1]SADC!J184-J184&gt;0,I184+[1]SADC!I184-[1]SADC!J184-J184,0)</f>
        <v>0</v>
      </c>
      <c r="L184" s="182">
        <f>+IF(J184+[1]SADC!J184-[1]SADC!I184-I184&gt;0,J184+[1]SADC!J184-[1]SADC!I184-I184,0)</f>
        <v>0</v>
      </c>
      <c r="M184" s="182">
        <f>+IF(K184+[1]SADC!K184-[1]SADC!L184-L184&gt;0,K184+[1]SADC!K184-[1]SADC!L184-L184,0)</f>
        <v>0</v>
      </c>
      <c r="N184" s="182">
        <f>+IF(L184+[1]SADC!L184-[1]SADC!K184-K184&gt;0,L184+[1]SADC!L184-[1]SADC!K184-K184,0)</f>
        <v>0</v>
      </c>
      <c r="O184" s="182">
        <f>+IF(M184+[1]SADC!M184-[1]SADC!N184-N184&gt;0,M184+[1]SADC!M184-[1]SADC!N184-N184,0)</f>
        <v>0</v>
      </c>
      <c r="P184" s="182">
        <f>+IF(N184+[1]SADC!N184-[1]SADC!M184-M184&gt;0,N184+[1]SADC!N184-[1]SADC!M184-M184,0)</f>
        <v>0</v>
      </c>
      <c r="Q184" s="182">
        <f>+IF(O184+[1]SADC!O184-[1]SADC!P184-P184&gt;0,O184+[1]SADC!O184-[1]SADC!P184-P184,0)</f>
        <v>0</v>
      </c>
      <c r="R184" s="182">
        <f>+IF(P184+[1]SADC!P184-[1]SADC!O184-O184&gt;0,P184+[1]SADC!P184-[1]SADC!O184-O184,0)</f>
        <v>0</v>
      </c>
      <c r="S184" s="182">
        <f>+IF(Q184+[1]SADC!Q184-[1]SADC!R184-R184&gt;0,Q184+[1]SADC!Q184-[1]SADC!R184-R184,0)</f>
        <v>0</v>
      </c>
      <c r="T184" s="182">
        <f>+IF(R184+[1]SADC!R184-[1]SADC!Q184-Q184&gt;0,R184+[1]SADC!R184-[1]SADC!Q184-Q184,0)</f>
        <v>0</v>
      </c>
      <c r="U184" s="182">
        <f>+IF(S184+[1]SADC!S184-[1]SADC!T184-T184&gt;0,S184+[1]SADC!S184-[1]SADC!T184-T184,0)</f>
        <v>0</v>
      </c>
      <c r="V184" s="182">
        <f>+IF(T184+[1]SADC!T184-[1]SADC!S184-S184&gt;0,T184+[1]SADC!T184-[1]SADC!S184-S184,0)</f>
        <v>0</v>
      </c>
      <c r="W184" s="182">
        <f>+IF(U184+[1]SADC!U184-[1]SADC!V184-V184&gt;0,U184+[1]SADC!U184-[1]SADC!V184-V184,0)</f>
        <v>0</v>
      </c>
      <c r="X184" s="182">
        <f>+IF(V184+[1]SADC!V184-[1]SADC!U184-U184&gt;0,V184+[1]SADC!V184-[1]SADC!U184-U184,0)</f>
        <v>0</v>
      </c>
      <c r="Y184" s="182">
        <f>+IF(W184+[1]SADC!W184-[1]SADC!X184-X184&gt;0,W184+[1]SADC!W184-[1]SADC!X184-X184,0)</f>
        <v>0</v>
      </c>
      <c r="Z184" s="182">
        <f>+IF(X184+[1]SADC!X184-[1]SADC!W184-W184&gt;0,X184+[1]SADC!X184-[1]SADC!W184-W184,0)</f>
        <v>0</v>
      </c>
      <c r="AA184" s="182">
        <f>+IF(Y184+[1]SADC!Y184-[1]SADC!Z184-Z184&gt;0,Y184+[1]SADC!Y184-[1]SADC!Z184-Z184,0)</f>
        <v>0</v>
      </c>
      <c r="AB184" s="182">
        <f>+IF(Z184+[1]SADC!Z184-[1]SADC!Y184-Y184&gt;0,Z184+[1]SADC!Z184-[1]SADC!Y184-Y184,0)</f>
        <v>0</v>
      </c>
      <c r="AC184" s="181"/>
      <c r="AD184" s="182">
        <f t="shared" si="2"/>
        <v>0</v>
      </c>
      <c r="AE184" s="182">
        <f t="shared" si="2"/>
        <v>0</v>
      </c>
      <c r="AF184" s="181"/>
    </row>
    <row r="185" spans="1:32">
      <c r="A185" s="181" t="str">
        <f>+VLOOKUP(B185,'[1]coa-mgb'!A$1:B$65536,2,0)</f>
        <v>Depreciation - Medical Equipment</v>
      </c>
      <c r="B185" s="184" t="s">
        <v>222</v>
      </c>
      <c r="C185" s="182">
        <f>+SUMIFS('[1]50501050 11'!$F$1:$F$65536,'[1]50501050 11'!$D$1:$D$65536,"Beginning Balance",'[1]50501050 11'!$D$1:$D$65536,"Beginning Balance")</f>
        <v>0</v>
      </c>
      <c r="D185" s="182">
        <f>+SUMIFS('[1]50501050 11'!$H$1:$H$65536,'[1]50501050 11'!$D$1:$D$65536,"Beginning Balance",'[1]50501050 11'!$D$1:$D$65536,"Beginning Balance")</f>
        <v>0</v>
      </c>
      <c r="E185" s="182">
        <f>+IF(C185+[1]SADC!C185-[1]SADC!D185-D185&gt;0,C185+[1]SADC!C185-[1]SADC!D185-D185,0)</f>
        <v>0</v>
      </c>
      <c r="F185" s="182">
        <f>+IF(D185+[1]SADC!D185-[1]SADC!C185-C185&gt;0,D185+[1]SADC!D185-[1]SADC!C185-C185,0)</f>
        <v>0</v>
      </c>
      <c r="G185" s="182">
        <f>+IF(E185+[1]SADC!E185-[1]SADC!F185-F185&gt;0,E185+[1]SADC!E185-[1]SADC!F185-F185,0)</f>
        <v>0</v>
      </c>
      <c r="H185" s="182">
        <f>+IF(F185+[1]SADC!F185-[1]SADC!E185-E185&gt;0,F185+[1]SADC!F185-[1]SADC!E185-E185,0)</f>
        <v>0</v>
      </c>
      <c r="I185" s="182">
        <f>+IF(G185+[1]SADC!G185-[1]SADC!H185-H185&gt;0,G185+[1]SADC!G185-[1]SADC!H185-H185,0)</f>
        <v>0</v>
      </c>
      <c r="J185" s="182">
        <f>+IF(H185+[1]SADC!H185-[1]SADC!G185-G185&gt;0,H185+[1]SADC!H185-[1]SADC!G185-G185,0)</f>
        <v>0</v>
      </c>
      <c r="K185" s="182">
        <f>+IF(I185+[1]SADC!I185-[1]SADC!J185-J185&gt;0,I185+[1]SADC!I185-[1]SADC!J185-J185,0)</f>
        <v>0</v>
      </c>
      <c r="L185" s="182">
        <f>+IF(J185+[1]SADC!J185-[1]SADC!I185-I185&gt;0,J185+[1]SADC!J185-[1]SADC!I185-I185,0)</f>
        <v>0</v>
      </c>
      <c r="M185" s="182">
        <f>+IF(K185+[1]SADC!K185-[1]SADC!L185-L185&gt;0,K185+[1]SADC!K185-[1]SADC!L185-L185,0)</f>
        <v>0</v>
      </c>
      <c r="N185" s="182">
        <f>+IF(L185+[1]SADC!L185-[1]SADC!K185-K185&gt;0,L185+[1]SADC!L185-[1]SADC!K185-K185,0)</f>
        <v>0</v>
      </c>
      <c r="O185" s="182">
        <f>+IF(M185+[1]SADC!M185-[1]SADC!N185-N185&gt;0,M185+[1]SADC!M185-[1]SADC!N185-N185,0)</f>
        <v>0</v>
      </c>
      <c r="P185" s="182">
        <f>+IF(N185+[1]SADC!N185-[1]SADC!M185-M185&gt;0,N185+[1]SADC!N185-[1]SADC!M185-M185,0)</f>
        <v>0</v>
      </c>
      <c r="Q185" s="182">
        <f>+IF(O185+[1]SADC!O185-[1]SADC!P185-P185&gt;0,O185+[1]SADC!O185-[1]SADC!P185-P185,0)</f>
        <v>0</v>
      </c>
      <c r="R185" s="182">
        <f>+IF(P185+[1]SADC!P185-[1]SADC!O185-O185&gt;0,P185+[1]SADC!P185-[1]SADC!O185-O185,0)</f>
        <v>0</v>
      </c>
      <c r="S185" s="182">
        <f>+IF(Q185+[1]SADC!Q185-[1]SADC!R185-R185&gt;0,Q185+[1]SADC!Q185-[1]SADC!R185-R185,0)</f>
        <v>0</v>
      </c>
      <c r="T185" s="182">
        <f>+IF(R185+[1]SADC!R185-[1]SADC!Q185-Q185&gt;0,R185+[1]SADC!R185-[1]SADC!Q185-Q185,0)</f>
        <v>0</v>
      </c>
      <c r="U185" s="182">
        <f>+IF(S185+[1]SADC!S185-[1]SADC!T185-T185&gt;0,S185+[1]SADC!S185-[1]SADC!T185-T185,0)</f>
        <v>0</v>
      </c>
      <c r="V185" s="182">
        <f>+IF(T185+[1]SADC!T185-[1]SADC!S185-S185&gt;0,T185+[1]SADC!T185-[1]SADC!S185-S185,0)</f>
        <v>0</v>
      </c>
      <c r="W185" s="182">
        <f>+IF(U185+[1]SADC!U185-[1]SADC!V185-V185&gt;0,U185+[1]SADC!U185-[1]SADC!V185-V185,0)</f>
        <v>0</v>
      </c>
      <c r="X185" s="182">
        <f>+IF(V185+[1]SADC!V185-[1]SADC!U185-U185&gt;0,V185+[1]SADC!V185-[1]SADC!U185-U185,0)</f>
        <v>0</v>
      </c>
      <c r="Y185" s="182">
        <f>+IF(W185+[1]SADC!W185-[1]SADC!X185-X185&gt;0,W185+[1]SADC!W185-[1]SADC!X185-X185,0)</f>
        <v>0</v>
      </c>
      <c r="Z185" s="182">
        <f>+IF(X185+[1]SADC!X185-[1]SADC!W185-W185&gt;0,X185+[1]SADC!X185-[1]SADC!W185-W185,0)</f>
        <v>0</v>
      </c>
      <c r="AA185" s="182">
        <f>+IF(Y185+[1]SADC!Y185-[1]SADC!Z185-Z185&gt;0,Y185+[1]SADC!Y185-[1]SADC!Z185-Z185,0)</f>
        <v>0</v>
      </c>
      <c r="AB185" s="182">
        <f>+IF(Z185+[1]SADC!Z185-[1]SADC!Y185-Y185&gt;0,Z185+[1]SADC!Z185-[1]SADC!Y185-Y185,0)</f>
        <v>0</v>
      </c>
      <c r="AC185" s="181"/>
      <c r="AD185" s="182">
        <f t="shared" si="2"/>
        <v>0</v>
      </c>
      <c r="AE185" s="182">
        <f t="shared" si="2"/>
        <v>0</v>
      </c>
      <c r="AF185" s="181"/>
    </row>
    <row r="186" spans="1:32">
      <c r="A186" s="181" t="str">
        <f>+VLOOKUP(B186,'[1]coa-mgb'!A$1:B$65536,2,0)</f>
        <v>Depreciation - Technical and Scientific Equipment</v>
      </c>
      <c r="B186" s="184" t="s">
        <v>223</v>
      </c>
      <c r="C186" s="182">
        <f>+SUMIFS('[1]50501050 14'!$F$1:$F$65536,'[1]50501050 14'!$D$1:$D$65536,"Beginning Balance",'[1]50501050 14'!$D$1:$D$65536,"Beginning Balance")</f>
        <v>0</v>
      </c>
      <c r="D186" s="182">
        <f>+SUMIFS('[1]50501050 14'!$H$1:$H$65536,'[1]50501050 14'!$D$1:$D$65536,"Beginning Balance",'[1]50501050 14'!$D$1:$D$65536,"Beginning Balance")</f>
        <v>0</v>
      </c>
      <c r="E186" s="182">
        <f>+IF(C186+[1]SADC!C186-[1]SADC!D186-D186&gt;0,C186+[1]SADC!C186-[1]SADC!D186-D186,0)</f>
        <v>94005.84</v>
      </c>
      <c r="F186" s="182">
        <f>+IF(D186+[1]SADC!D186-[1]SADC!C186-C186&gt;0,D186+[1]SADC!D186-[1]SADC!C186-C186,0)</f>
        <v>0</v>
      </c>
      <c r="G186" s="182">
        <f>+IF(E186+[1]SADC!E186-[1]SADC!F186-F186&gt;0,E186+[1]SADC!E186-[1]SADC!F186-F186,0)</f>
        <v>188011.55</v>
      </c>
      <c r="H186" s="182">
        <f>+IF(F186+[1]SADC!F186-[1]SADC!E186-E186&gt;0,F186+[1]SADC!F186-[1]SADC!E186-E186,0)</f>
        <v>0</v>
      </c>
      <c r="I186" s="182">
        <f>+IF(G186+[1]SADC!G186-[1]SADC!H186-H186&gt;0,G186+[1]SADC!G186-[1]SADC!H186-H186,0)</f>
        <v>282017.39</v>
      </c>
      <c r="J186" s="182">
        <f>+IF(H186+[1]SADC!H186-[1]SADC!G186-G186&gt;0,H186+[1]SADC!H186-[1]SADC!G186-G186,0)</f>
        <v>0</v>
      </c>
      <c r="K186" s="182">
        <f>+IF(I186+[1]SADC!I186-[1]SADC!J186-J186&gt;0,I186+[1]SADC!I186-[1]SADC!J186-J186,0)</f>
        <v>282017.39</v>
      </c>
      <c r="L186" s="182">
        <f>+IF(J186+[1]SADC!J186-[1]SADC!I186-I186&gt;0,J186+[1]SADC!J186-[1]SADC!I186-I186,0)</f>
        <v>0</v>
      </c>
      <c r="M186" s="182">
        <f>+IF(K186+[1]SADC!K186-[1]SADC!L186-L186&gt;0,K186+[1]SADC!K186-[1]SADC!L186-L186,0)</f>
        <v>282017.39</v>
      </c>
      <c r="N186" s="182">
        <f>+IF(L186+[1]SADC!L186-[1]SADC!K186-K186&gt;0,L186+[1]SADC!L186-[1]SADC!K186-K186,0)</f>
        <v>0</v>
      </c>
      <c r="O186" s="182">
        <f>+IF(M186+[1]SADC!M186-[1]SADC!N186-N186&gt;0,M186+[1]SADC!M186-[1]SADC!N186-N186,0)</f>
        <v>282017.39</v>
      </c>
      <c r="P186" s="182">
        <f>+IF(N186+[1]SADC!N186-[1]SADC!M186-M186&gt;0,N186+[1]SADC!N186-[1]SADC!M186-M186,0)</f>
        <v>0</v>
      </c>
      <c r="Q186" s="182">
        <f>+IF(O186+[1]SADC!O186-[1]SADC!P186-P186&gt;0,O186+[1]SADC!O186-[1]SADC!P186-P186,0)</f>
        <v>282017.39</v>
      </c>
      <c r="R186" s="182">
        <f>+IF(P186+[1]SADC!P186-[1]SADC!O186-O186&gt;0,P186+[1]SADC!P186-[1]SADC!O186-O186,0)</f>
        <v>0</v>
      </c>
      <c r="S186" s="182">
        <f>+IF(Q186+[1]SADC!Q186-[1]SADC!R186-R186&gt;0,Q186+[1]SADC!Q186-[1]SADC!R186-R186,0)</f>
        <v>282017.39</v>
      </c>
      <c r="T186" s="182">
        <f>+IF(R186+[1]SADC!R186-[1]SADC!Q186-Q186&gt;0,R186+[1]SADC!R186-[1]SADC!Q186-Q186,0)</f>
        <v>0</v>
      </c>
      <c r="U186" s="182">
        <f>+IF(S186+[1]SADC!S186-[1]SADC!T186-T186&gt;0,S186+[1]SADC!S186-[1]SADC!T186-T186,0)</f>
        <v>282017.39</v>
      </c>
      <c r="V186" s="182">
        <f>+IF(T186+[1]SADC!T186-[1]SADC!S186-S186&gt;0,T186+[1]SADC!T186-[1]SADC!S186-S186,0)</f>
        <v>0</v>
      </c>
      <c r="W186" s="182">
        <f>+IF(U186+[1]SADC!U186-[1]SADC!V186-V186&gt;0,U186+[1]SADC!U186-[1]SADC!V186-V186,0)</f>
        <v>282017.39</v>
      </c>
      <c r="X186" s="182">
        <f>+IF(V186+[1]SADC!V186-[1]SADC!U186-U186&gt;0,V186+[1]SADC!V186-[1]SADC!U186-U186,0)</f>
        <v>0</v>
      </c>
      <c r="Y186" s="182">
        <f>+IF(W186+[1]SADC!W186-[1]SADC!X186-X186&gt;0,W186+[1]SADC!W186-[1]SADC!X186-X186,0)</f>
        <v>282017.39</v>
      </c>
      <c r="Z186" s="182">
        <f>+IF(X186+[1]SADC!X186-[1]SADC!W186-W186&gt;0,X186+[1]SADC!X186-[1]SADC!W186-W186,0)</f>
        <v>0</v>
      </c>
      <c r="AA186" s="182">
        <f>+IF(Y186+[1]SADC!Y186-[1]SADC!Z186-Z186&gt;0,Y186+[1]SADC!Y186-[1]SADC!Z186-Z186,0)</f>
        <v>282017.39</v>
      </c>
      <c r="AB186" s="182">
        <f>+IF(Z186+[1]SADC!Z186-[1]SADC!Y186-Y186&gt;0,Z186+[1]SADC!Z186-[1]SADC!Y186-Y186,0)</f>
        <v>0</v>
      </c>
      <c r="AC186" s="181"/>
      <c r="AD186" s="182">
        <f t="shared" si="2"/>
        <v>282017.39</v>
      </c>
      <c r="AE186" s="182">
        <f t="shared" si="2"/>
        <v>0</v>
      </c>
      <c r="AF186" s="181"/>
    </row>
    <row r="187" spans="1:32">
      <c r="A187" s="181" t="str">
        <f>+VLOOKUP(B187,'[1]coa-mgb'!A$1:B$65536,2,0)</f>
        <v>Depreciation - Other  Machineries and Equipment</v>
      </c>
      <c r="B187" s="184" t="s">
        <v>224</v>
      </c>
      <c r="C187" s="182">
        <f>+SUMIFS('[1]50501050 99'!$F$1:$F$65536,'[1]50501050 99'!$D$1:$D$65536,"Beginning Balance",'[1]50501050 99'!$D$1:$D$65536,"Beginning Balance")</f>
        <v>0</v>
      </c>
      <c r="D187" s="182">
        <f>+SUMIFS('[1]50501050 99'!$H$1:$H$65536,'[1]50501050 99'!$D$1:$D$65536,"Beginning Balance",'[1]50501050 99'!$D$1:$D$65536,"Beginning Balance")</f>
        <v>0</v>
      </c>
      <c r="E187" s="182">
        <f>+IF(C187+[1]SADC!C187-[1]SADC!D187-D187&gt;0,C187+[1]SADC!C187-[1]SADC!D187-D187,0)</f>
        <v>0</v>
      </c>
      <c r="F187" s="182">
        <f>+IF(D187+[1]SADC!D187-[1]SADC!C187-C187&gt;0,D187+[1]SADC!D187-[1]SADC!C187-C187,0)</f>
        <v>0</v>
      </c>
      <c r="G187" s="182">
        <f>+IF(E187+[1]SADC!E187-[1]SADC!F187-F187&gt;0,E187+[1]SADC!E187-[1]SADC!F187-F187,0)</f>
        <v>0</v>
      </c>
      <c r="H187" s="182">
        <f>+IF(F187+[1]SADC!F187-[1]SADC!E187-E187&gt;0,F187+[1]SADC!F187-[1]SADC!E187-E187,0)</f>
        <v>0</v>
      </c>
      <c r="I187" s="182">
        <f>+IF(G187+[1]SADC!G187-[1]SADC!H187-H187&gt;0,G187+[1]SADC!G187-[1]SADC!H187-H187,0)</f>
        <v>0</v>
      </c>
      <c r="J187" s="182">
        <f>+IF(H187+[1]SADC!H187-[1]SADC!G187-G187&gt;0,H187+[1]SADC!H187-[1]SADC!G187-G187,0)</f>
        <v>0</v>
      </c>
      <c r="K187" s="182">
        <f>+IF(I187+[1]SADC!I187-[1]SADC!J187-J187&gt;0,I187+[1]SADC!I187-[1]SADC!J187-J187,0)</f>
        <v>0</v>
      </c>
      <c r="L187" s="182">
        <f>+IF(J187+[1]SADC!J187-[1]SADC!I187-I187&gt;0,J187+[1]SADC!J187-[1]SADC!I187-I187,0)</f>
        <v>0</v>
      </c>
      <c r="M187" s="182">
        <f>+IF(K187+[1]SADC!K187-[1]SADC!L187-L187&gt;0,K187+[1]SADC!K187-[1]SADC!L187-L187,0)</f>
        <v>0</v>
      </c>
      <c r="N187" s="182">
        <f>+IF(L187+[1]SADC!L187-[1]SADC!K187-K187&gt;0,L187+[1]SADC!L187-[1]SADC!K187-K187,0)</f>
        <v>0</v>
      </c>
      <c r="O187" s="182">
        <f>+IF(M187+[1]SADC!M187-[1]SADC!N187-N187&gt;0,M187+[1]SADC!M187-[1]SADC!N187-N187,0)</f>
        <v>0</v>
      </c>
      <c r="P187" s="182">
        <f>+IF(N187+[1]SADC!N187-[1]SADC!M187-M187&gt;0,N187+[1]SADC!N187-[1]SADC!M187-M187,0)</f>
        <v>0</v>
      </c>
      <c r="Q187" s="182">
        <f>+IF(O187+[1]SADC!O187-[1]SADC!P187-P187&gt;0,O187+[1]SADC!O187-[1]SADC!P187-P187,0)</f>
        <v>0</v>
      </c>
      <c r="R187" s="182">
        <f>+IF(P187+[1]SADC!P187-[1]SADC!O187-O187&gt;0,P187+[1]SADC!P187-[1]SADC!O187-O187,0)</f>
        <v>0</v>
      </c>
      <c r="S187" s="182">
        <f>+IF(Q187+[1]SADC!Q187-[1]SADC!R187-R187&gt;0,Q187+[1]SADC!Q187-[1]SADC!R187-R187,0)</f>
        <v>0</v>
      </c>
      <c r="T187" s="182">
        <f>+IF(R187+[1]SADC!R187-[1]SADC!Q187-Q187&gt;0,R187+[1]SADC!R187-[1]SADC!Q187-Q187,0)</f>
        <v>0</v>
      </c>
      <c r="U187" s="182">
        <f>+IF(S187+[1]SADC!S187-[1]SADC!T187-T187&gt;0,S187+[1]SADC!S187-[1]SADC!T187-T187,0)</f>
        <v>0</v>
      </c>
      <c r="V187" s="182">
        <f>+IF(T187+[1]SADC!T187-[1]SADC!S187-S187&gt;0,T187+[1]SADC!T187-[1]SADC!S187-S187,0)</f>
        <v>0</v>
      </c>
      <c r="W187" s="182">
        <f>+IF(U187+[1]SADC!U187-[1]SADC!V187-V187&gt;0,U187+[1]SADC!U187-[1]SADC!V187-V187,0)</f>
        <v>0</v>
      </c>
      <c r="X187" s="182">
        <f>+IF(V187+[1]SADC!V187-[1]SADC!U187-U187&gt;0,V187+[1]SADC!V187-[1]SADC!U187-U187,0)</f>
        <v>0</v>
      </c>
      <c r="Y187" s="182">
        <f>+IF(W187+[1]SADC!W187-[1]SADC!X187-X187&gt;0,W187+[1]SADC!W187-[1]SADC!X187-X187,0)</f>
        <v>0</v>
      </c>
      <c r="Z187" s="182">
        <f>+IF(X187+[1]SADC!X187-[1]SADC!W187-W187&gt;0,X187+[1]SADC!X187-[1]SADC!W187-W187,0)</f>
        <v>0</v>
      </c>
      <c r="AA187" s="182">
        <f>+IF(Y187+[1]SADC!Y187-[1]SADC!Z187-Z187&gt;0,Y187+[1]SADC!Y187-[1]SADC!Z187-Z187,0)</f>
        <v>0</v>
      </c>
      <c r="AB187" s="182">
        <f>+IF(Z187+[1]SADC!Z187-[1]SADC!Y187-Y187&gt;0,Z187+[1]SADC!Z187-[1]SADC!Y187-Y187,0)</f>
        <v>0</v>
      </c>
      <c r="AC187" s="181"/>
      <c r="AD187" s="182">
        <f t="shared" si="2"/>
        <v>0</v>
      </c>
      <c r="AE187" s="182">
        <f t="shared" si="2"/>
        <v>0</v>
      </c>
      <c r="AF187" s="181"/>
    </row>
    <row r="188" spans="1:32">
      <c r="A188" s="181" t="str">
        <f>+VLOOKUP(B188,'[1]coa-mgb'!A$1:B$65536,2,0)</f>
        <v>Depreciation - Motor Vehicles</v>
      </c>
      <c r="B188" s="184" t="s">
        <v>225</v>
      </c>
      <c r="C188" s="182">
        <f>+SUMIFS('[1]50501060 01'!$F$1:$F$65536,'[1]50501060 01'!$D$1:$D$65536,"Beginning Balance",'[1]50501060 01'!$D$1:$D$65536,"Beginning Balance")</f>
        <v>0</v>
      </c>
      <c r="D188" s="182">
        <f>+SUMIFS('[1]50501060 01'!$H$1:$H$65536,'[1]50501060 01'!$D$1:$D$65536,"Beginning Balance",'[1]50501060 01'!$D$1:$D$65536,"Beginning Balance")</f>
        <v>0</v>
      </c>
      <c r="E188" s="182">
        <f>+IF(C188+[1]SADC!C188-[1]SADC!D188-D188&gt;0,C188+[1]SADC!C188-[1]SADC!D188-D188,0)</f>
        <v>7066.07</v>
      </c>
      <c r="F188" s="182">
        <f>+IF(D188+[1]SADC!D188-[1]SADC!C188-C188&gt;0,D188+[1]SADC!D188-[1]SADC!C188-C188,0)</f>
        <v>0</v>
      </c>
      <c r="G188" s="182">
        <f>+IF(E188+[1]SADC!E188-[1]SADC!F188-F188&gt;0,E188+[1]SADC!E188-[1]SADC!F188-F188,0)</f>
        <v>29132.14</v>
      </c>
      <c r="H188" s="182">
        <f>+IF(F188+[1]SADC!F188-[1]SADC!E188-E188&gt;0,F188+[1]SADC!F188-[1]SADC!E188-E188,0)</f>
        <v>0</v>
      </c>
      <c r="I188" s="182">
        <f>+IF(G188+[1]SADC!G188-[1]SADC!H188-H188&gt;0,G188+[1]SADC!G188-[1]SADC!H188-H188,0)</f>
        <v>51198.21</v>
      </c>
      <c r="J188" s="182">
        <f>+IF(H188+[1]SADC!H188-[1]SADC!G188-G188&gt;0,H188+[1]SADC!H188-[1]SADC!G188-G188,0)</f>
        <v>0</v>
      </c>
      <c r="K188" s="182">
        <f>+IF(I188+[1]SADC!I188-[1]SADC!J188-J188&gt;0,I188+[1]SADC!I188-[1]SADC!J188-J188,0)</f>
        <v>51198.21</v>
      </c>
      <c r="L188" s="182">
        <f>+IF(J188+[1]SADC!J188-[1]SADC!I188-I188&gt;0,J188+[1]SADC!J188-[1]SADC!I188-I188,0)</f>
        <v>0</v>
      </c>
      <c r="M188" s="182">
        <f>+IF(K188+[1]SADC!K188-[1]SADC!L188-L188&gt;0,K188+[1]SADC!K188-[1]SADC!L188-L188,0)</f>
        <v>51198.21</v>
      </c>
      <c r="N188" s="182">
        <f>+IF(L188+[1]SADC!L188-[1]SADC!K188-K188&gt;0,L188+[1]SADC!L188-[1]SADC!K188-K188,0)</f>
        <v>0</v>
      </c>
      <c r="O188" s="182">
        <f>+IF(M188+[1]SADC!M188-[1]SADC!N188-N188&gt;0,M188+[1]SADC!M188-[1]SADC!N188-N188,0)</f>
        <v>51198.21</v>
      </c>
      <c r="P188" s="182">
        <f>+IF(N188+[1]SADC!N188-[1]SADC!M188-M188&gt;0,N188+[1]SADC!N188-[1]SADC!M188-M188,0)</f>
        <v>0</v>
      </c>
      <c r="Q188" s="182">
        <f>+IF(O188+[1]SADC!O188-[1]SADC!P188-P188&gt;0,O188+[1]SADC!O188-[1]SADC!P188-P188,0)</f>
        <v>51198.21</v>
      </c>
      <c r="R188" s="182">
        <f>+IF(P188+[1]SADC!P188-[1]SADC!O188-O188&gt;0,P188+[1]SADC!P188-[1]SADC!O188-O188,0)</f>
        <v>0</v>
      </c>
      <c r="S188" s="182">
        <f>+IF(Q188+[1]SADC!Q188-[1]SADC!R188-R188&gt;0,Q188+[1]SADC!Q188-[1]SADC!R188-R188,0)</f>
        <v>51198.21</v>
      </c>
      <c r="T188" s="182">
        <f>+IF(R188+[1]SADC!R188-[1]SADC!Q188-Q188&gt;0,R188+[1]SADC!R188-[1]SADC!Q188-Q188,0)</f>
        <v>0</v>
      </c>
      <c r="U188" s="182">
        <f>+IF(S188+[1]SADC!S188-[1]SADC!T188-T188&gt;0,S188+[1]SADC!S188-[1]SADC!T188-T188,0)</f>
        <v>51198.21</v>
      </c>
      <c r="V188" s="182">
        <f>+IF(T188+[1]SADC!T188-[1]SADC!S188-S188&gt;0,T188+[1]SADC!T188-[1]SADC!S188-S188,0)</f>
        <v>0</v>
      </c>
      <c r="W188" s="182">
        <f>+IF(U188+[1]SADC!U188-[1]SADC!V188-V188&gt;0,U188+[1]SADC!U188-[1]SADC!V188-V188,0)</f>
        <v>51198.21</v>
      </c>
      <c r="X188" s="182">
        <f>+IF(V188+[1]SADC!V188-[1]SADC!U188-U188&gt;0,V188+[1]SADC!V188-[1]SADC!U188-U188,0)</f>
        <v>0</v>
      </c>
      <c r="Y188" s="182">
        <f>+IF(W188+[1]SADC!W188-[1]SADC!X188-X188&gt;0,W188+[1]SADC!W188-[1]SADC!X188-X188,0)</f>
        <v>51198.21</v>
      </c>
      <c r="Z188" s="182">
        <f>+IF(X188+[1]SADC!X188-[1]SADC!W188-W188&gt;0,X188+[1]SADC!X188-[1]SADC!W188-W188,0)</f>
        <v>0</v>
      </c>
      <c r="AA188" s="182">
        <f>+IF(Y188+[1]SADC!Y188-[1]SADC!Z188-Z188&gt;0,Y188+[1]SADC!Y188-[1]SADC!Z188-Z188,0)</f>
        <v>51198.21</v>
      </c>
      <c r="AB188" s="182">
        <f>+IF(Z188+[1]SADC!Z188-[1]SADC!Y188-Y188&gt;0,Z188+[1]SADC!Z188-[1]SADC!Y188-Y188,0)</f>
        <v>0</v>
      </c>
      <c r="AC188" s="181"/>
      <c r="AD188" s="182">
        <f t="shared" si="2"/>
        <v>51198.21</v>
      </c>
      <c r="AE188" s="182">
        <f t="shared" si="2"/>
        <v>0</v>
      </c>
      <c r="AF188" s="181"/>
    </row>
    <row r="189" spans="1:32">
      <c r="A189" s="181" t="str">
        <f>+VLOOKUP(B189,'[1]coa-mgb'!A$1:B$65536,2,0)</f>
        <v>Depreciation - Watercrafts</v>
      </c>
      <c r="B189" s="184" t="s">
        <v>226</v>
      </c>
      <c r="C189" s="182">
        <f>+SUMIFS('[1]50501060 04'!$F$1:$F$65536,'[1]50501060 04'!$D$1:$D$65536,"Beginning Balance",'[1]50501060 04'!$D$1:$D$65536,"Beginning Balance")</f>
        <v>0</v>
      </c>
      <c r="D189" s="182">
        <f>+SUMIFS('[1]50501060 04'!$H$1:$H$65536,'[1]50501060 04'!$D$1:$D$65536,"Beginning Balance",'[1]50501060 04'!$D$1:$D$65536,"Beginning Balance")</f>
        <v>0</v>
      </c>
      <c r="E189" s="182">
        <f>+IF(C189+[1]SADC!C189-[1]SADC!D189-D189&gt;0,C189+[1]SADC!C189-[1]SADC!D189-D189,0)</f>
        <v>0</v>
      </c>
      <c r="F189" s="182">
        <f>+IF(D189+[1]SADC!D189-[1]SADC!C189-C189&gt;0,D189+[1]SADC!D189-[1]SADC!C189-C189,0)</f>
        <v>0</v>
      </c>
      <c r="G189" s="182">
        <f>+IF(E189+[1]SADC!E189-[1]SADC!F189-F189&gt;0,E189+[1]SADC!E189-[1]SADC!F189-F189,0)</f>
        <v>0</v>
      </c>
      <c r="H189" s="182">
        <f>+IF(F189+[1]SADC!F189-[1]SADC!E189-E189&gt;0,F189+[1]SADC!F189-[1]SADC!E189-E189,0)</f>
        <v>0</v>
      </c>
      <c r="I189" s="182">
        <f>+IF(G189+[1]SADC!G189-[1]SADC!H189-H189&gt;0,G189+[1]SADC!G189-[1]SADC!H189-H189,0)</f>
        <v>0</v>
      </c>
      <c r="J189" s="182">
        <f>+IF(H189+[1]SADC!H189-[1]SADC!G189-G189&gt;0,H189+[1]SADC!H189-[1]SADC!G189-G189,0)</f>
        <v>0</v>
      </c>
      <c r="K189" s="182">
        <f>+IF(I189+[1]SADC!I189-[1]SADC!J189-J189&gt;0,I189+[1]SADC!I189-[1]SADC!J189-J189,0)</f>
        <v>0</v>
      </c>
      <c r="L189" s="182">
        <f>+IF(J189+[1]SADC!J189-[1]SADC!I189-I189&gt;0,J189+[1]SADC!J189-[1]SADC!I189-I189,0)</f>
        <v>0</v>
      </c>
      <c r="M189" s="182">
        <f>+IF(K189+[1]SADC!K189-[1]SADC!L189-L189&gt;0,K189+[1]SADC!K189-[1]SADC!L189-L189,0)</f>
        <v>0</v>
      </c>
      <c r="N189" s="182">
        <f>+IF(L189+[1]SADC!L189-[1]SADC!K189-K189&gt;0,L189+[1]SADC!L189-[1]SADC!K189-K189,0)</f>
        <v>0</v>
      </c>
      <c r="O189" s="182">
        <f>+IF(M189+[1]SADC!M189-[1]SADC!N189-N189&gt;0,M189+[1]SADC!M189-[1]SADC!N189-N189,0)</f>
        <v>0</v>
      </c>
      <c r="P189" s="182">
        <f>+IF(N189+[1]SADC!N189-[1]SADC!M189-M189&gt;0,N189+[1]SADC!N189-[1]SADC!M189-M189,0)</f>
        <v>0</v>
      </c>
      <c r="Q189" s="182">
        <f>+IF(O189+[1]SADC!O189-[1]SADC!P189-P189&gt;0,O189+[1]SADC!O189-[1]SADC!P189-P189,0)</f>
        <v>0</v>
      </c>
      <c r="R189" s="182">
        <f>+IF(P189+[1]SADC!P189-[1]SADC!O189-O189&gt;0,P189+[1]SADC!P189-[1]SADC!O189-O189,0)</f>
        <v>0</v>
      </c>
      <c r="S189" s="182">
        <f>+IF(Q189+[1]SADC!Q189-[1]SADC!R189-R189&gt;0,Q189+[1]SADC!Q189-[1]SADC!R189-R189,0)</f>
        <v>0</v>
      </c>
      <c r="T189" s="182">
        <f>+IF(R189+[1]SADC!R189-[1]SADC!Q189-Q189&gt;0,R189+[1]SADC!R189-[1]SADC!Q189-Q189,0)</f>
        <v>0</v>
      </c>
      <c r="U189" s="182">
        <f>+IF(S189+[1]SADC!S189-[1]SADC!T189-T189&gt;0,S189+[1]SADC!S189-[1]SADC!T189-T189,0)</f>
        <v>0</v>
      </c>
      <c r="V189" s="182">
        <f>+IF(T189+[1]SADC!T189-[1]SADC!S189-S189&gt;0,T189+[1]SADC!T189-[1]SADC!S189-S189,0)</f>
        <v>0</v>
      </c>
      <c r="W189" s="182">
        <f>+IF(U189+[1]SADC!U189-[1]SADC!V189-V189&gt;0,U189+[1]SADC!U189-[1]SADC!V189-V189,0)</f>
        <v>0</v>
      </c>
      <c r="X189" s="182">
        <f>+IF(V189+[1]SADC!V189-[1]SADC!U189-U189&gt;0,V189+[1]SADC!V189-[1]SADC!U189-U189,0)</f>
        <v>0</v>
      </c>
      <c r="Y189" s="182">
        <f>+IF(W189+[1]SADC!W189-[1]SADC!X189-X189&gt;0,W189+[1]SADC!W189-[1]SADC!X189-X189,0)</f>
        <v>0</v>
      </c>
      <c r="Z189" s="182">
        <f>+IF(X189+[1]SADC!X189-[1]SADC!W189-W189&gt;0,X189+[1]SADC!X189-[1]SADC!W189-W189,0)</f>
        <v>0</v>
      </c>
      <c r="AA189" s="182">
        <f>+IF(Y189+[1]SADC!Y189-[1]SADC!Z189-Z189&gt;0,Y189+[1]SADC!Y189-[1]SADC!Z189-Z189,0)</f>
        <v>0</v>
      </c>
      <c r="AB189" s="182">
        <f>+IF(Z189+[1]SADC!Z189-[1]SADC!Y189-Y189&gt;0,Z189+[1]SADC!Z189-[1]SADC!Y189-Y189,0)</f>
        <v>0</v>
      </c>
      <c r="AC189" s="181"/>
      <c r="AD189" s="182">
        <f t="shared" si="2"/>
        <v>0</v>
      </c>
      <c r="AE189" s="182">
        <f t="shared" si="2"/>
        <v>0</v>
      </c>
      <c r="AF189" s="181"/>
    </row>
    <row r="190" spans="1:32">
      <c r="A190" s="181" t="str">
        <f>+VLOOKUP(B190,'[1]coa-mgb'!A$1:B$65536,2,0)</f>
        <v>Depreciation - Furniture,Fixtures and Books</v>
      </c>
      <c r="B190" s="184" t="s">
        <v>227</v>
      </c>
      <c r="C190" s="182">
        <f>+SUMIFS('[1]50501070 00'!$F$1:$F$65536,'[1]50501070 00'!$D$1:$D$65536,"Beginning Balance",'[1]50501070 00'!$D$1:$D$65536,"Beginning Balance")</f>
        <v>0</v>
      </c>
      <c r="D190" s="182">
        <f>+SUMIFS('[1]50501070 00'!$H$1:$H$65536,'[1]50501070 00'!$D$1:$D$65536,"Beginning Balance",'[1]50501070 00'!$D$1:$D$65536,"Beginning Balance")</f>
        <v>0</v>
      </c>
      <c r="E190" s="182">
        <f>+IF(C190+[1]SADC!C190-[1]SADC!D190-D190&gt;0,C190+[1]SADC!C190-[1]SADC!D190-D190,0)</f>
        <v>9113.01</v>
      </c>
      <c r="F190" s="182">
        <f>+IF(D190+[1]SADC!D190-[1]SADC!C190-C190&gt;0,D190+[1]SADC!D190-[1]SADC!C190-C190,0)</f>
        <v>0</v>
      </c>
      <c r="G190" s="182">
        <f>+IF(E190+[1]SADC!E190-[1]SADC!F190-F190&gt;0,E190+[1]SADC!E190-[1]SADC!F190-F190,0)</f>
        <v>18225.34</v>
      </c>
      <c r="H190" s="182">
        <f>+IF(F190+[1]SADC!F190-[1]SADC!E190-E190&gt;0,F190+[1]SADC!F190-[1]SADC!E190-E190,0)</f>
        <v>0</v>
      </c>
      <c r="I190" s="182">
        <f>+IF(G190+[1]SADC!G190-[1]SADC!H190-H190&gt;0,G190+[1]SADC!G190-[1]SADC!H190-H190,0)</f>
        <v>27338.35</v>
      </c>
      <c r="J190" s="182">
        <f>+IF(H190+[1]SADC!H190-[1]SADC!G190-G190&gt;0,H190+[1]SADC!H190-[1]SADC!G190-G190,0)</f>
        <v>0</v>
      </c>
      <c r="K190" s="182">
        <f>+IF(I190+[1]SADC!I190-[1]SADC!J190-J190&gt;0,I190+[1]SADC!I190-[1]SADC!J190-J190,0)</f>
        <v>27338.35</v>
      </c>
      <c r="L190" s="182">
        <f>+IF(J190+[1]SADC!J190-[1]SADC!I190-I190&gt;0,J190+[1]SADC!J190-[1]SADC!I190-I190,0)</f>
        <v>0</v>
      </c>
      <c r="M190" s="182">
        <f>+IF(K190+[1]SADC!K190-[1]SADC!L190-L190&gt;0,K190+[1]SADC!K190-[1]SADC!L190-L190,0)</f>
        <v>27338.35</v>
      </c>
      <c r="N190" s="182">
        <f>+IF(L190+[1]SADC!L190-[1]SADC!K190-K190&gt;0,L190+[1]SADC!L190-[1]SADC!K190-K190,0)</f>
        <v>0</v>
      </c>
      <c r="O190" s="182">
        <f>+IF(M190+[1]SADC!M190-[1]SADC!N190-N190&gt;0,M190+[1]SADC!M190-[1]SADC!N190-N190,0)</f>
        <v>27338.35</v>
      </c>
      <c r="P190" s="182">
        <f>+IF(N190+[1]SADC!N190-[1]SADC!M190-M190&gt;0,N190+[1]SADC!N190-[1]SADC!M190-M190,0)</f>
        <v>0</v>
      </c>
      <c r="Q190" s="182">
        <f>+IF(O190+[1]SADC!O190-[1]SADC!P190-P190&gt;0,O190+[1]SADC!O190-[1]SADC!P190-P190,0)</f>
        <v>27338.35</v>
      </c>
      <c r="R190" s="182">
        <f>+IF(P190+[1]SADC!P190-[1]SADC!O190-O190&gt;0,P190+[1]SADC!P190-[1]SADC!O190-O190,0)</f>
        <v>0</v>
      </c>
      <c r="S190" s="182">
        <f>+IF(Q190+[1]SADC!Q190-[1]SADC!R190-R190&gt;0,Q190+[1]SADC!Q190-[1]SADC!R190-R190,0)</f>
        <v>27338.35</v>
      </c>
      <c r="T190" s="182">
        <f>+IF(R190+[1]SADC!R190-[1]SADC!Q190-Q190&gt;0,R190+[1]SADC!R190-[1]SADC!Q190-Q190,0)</f>
        <v>0</v>
      </c>
      <c r="U190" s="182">
        <f>+IF(S190+[1]SADC!S190-[1]SADC!T190-T190&gt;0,S190+[1]SADC!S190-[1]SADC!T190-T190,0)</f>
        <v>27338.35</v>
      </c>
      <c r="V190" s="182">
        <f>+IF(T190+[1]SADC!T190-[1]SADC!S190-S190&gt;0,T190+[1]SADC!T190-[1]SADC!S190-S190,0)</f>
        <v>0</v>
      </c>
      <c r="W190" s="182">
        <f>+IF(U190+[1]SADC!U190-[1]SADC!V190-V190&gt;0,U190+[1]SADC!U190-[1]SADC!V190-V190,0)</f>
        <v>27338.35</v>
      </c>
      <c r="X190" s="182">
        <f>+IF(V190+[1]SADC!V190-[1]SADC!U190-U190&gt;0,V190+[1]SADC!V190-[1]SADC!U190-U190,0)</f>
        <v>0</v>
      </c>
      <c r="Y190" s="182">
        <f>+IF(W190+[1]SADC!W190-[1]SADC!X190-X190&gt;0,W190+[1]SADC!W190-[1]SADC!X190-X190,0)</f>
        <v>27338.35</v>
      </c>
      <c r="Z190" s="182">
        <f>+IF(X190+[1]SADC!X190-[1]SADC!W190-W190&gt;0,X190+[1]SADC!X190-[1]SADC!W190-W190,0)</f>
        <v>0</v>
      </c>
      <c r="AA190" s="182">
        <f>+IF(Y190+[1]SADC!Y190-[1]SADC!Z190-Z190&gt;0,Y190+[1]SADC!Y190-[1]SADC!Z190-Z190,0)</f>
        <v>27338.35</v>
      </c>
      <c r="AB190" s="182">
        <f>+IF(Z190+[1]SADC!Z190-[1]SADC!Y190-Y190&gt;0,Z190+[1]SADC!Z190-[1]SADC!Y190-Y190,0)</f>
        <v>0</v>
      </c>
      <c r="AC190" s="181"/>
      <c r="AD190" s="182">
        <f t="shared" si="2"/>
        <v>27338.35</v>
      </c>
      <c r="AE190" s="182">
        <f t="shared" si="2"/>
        <v>0</v>
      </c>
      <c r="AF190" s="181"/>
    </row>
    <row r="191" spans="1:32">
      <c r="A191" s="181" t="str">
        <f>+VLOOKUP(B191,'[1]coa-mgb'!A$1:B$65536,2,0)</f>
        <v>Depreciation - Leased Assets Improvements, Buildings</v>
      </c>
      <c r="B191" s="184" t="s">
        <v>228</v>
      </c>
      <c r="C191" s="182">
        <f>+SUMIFS('[1]50501090 02'!$F$1:$F$65536,'[1]50501090 02'!$D$1:$D$65536,"Beginning Balance",'[1]50501090 02'!$D$1:$D$65536,"Beginning Balance")</f>
        <v>0</v>
      </c>
      <c r="D191" s="182">
        <f>+SUMIFS('[1]50501090 02'!$H$1:$H$65536,'[1]50501090 02'!$D$1:$D$65536,"Beginning Balance",'[1]50501090 02'!$D$1:$D$65536,"Beginning Balance")</f>
        <v>0</v>
      </c>
      <c r="E191" s="182">
        <f>+IF(C191+[1]SADC!C191-[1]SADC!D191-D191&gt;0,C191+[1]SADC!C191-[1]SADC!D191-D191,0)</f>
        <v>0</v>
      </c>
      <c r="F191" s="182">
        <f>+IF(D191+[1]SADC!D191-[1]SADC!C191-C191&gt;0,D191+[1]SADC!D191-[1]SADC!C191-C191,0)</f>
        <v>0</v>
      </c>
      <c r="G191" s="182">
        <f>+IF(E191+[1]SADC!E191-[1]SADC!F191-F191&gt;0,E191+[1]SADC!E191-[1]SADC!F191-F191,0)</f>
        <v>0</v>
      </c>
      <c r="H191" s="182">
        <f>+IF(F191+[1]SADC!F191-[1]SADC!E191-E191&gt;0,F191+[1]SADC!F191-[1]SADC!E191-E191,0)</f>
        <v>0</v>
      </c>
      <c r="I191" s="182">
        <f>+IF(G191+[1]SADC!G191-[1]SADC!H191-H191&gt;0,G191+[1]SADC!G191-[1]SADC!H191-H191,0)</f>
        <v>0</v>
      </c>
      <c r="J191" s="182">
        <f>+IF(H191+[1]SADC!H191-[1]SADC!G191-G191&gt;0,H191+[1]SADC!H191-[1]SADC!G191-G191,0)</f>
        <v>0</v>
      </c>
      <c r="K191" s="182">
        <f>+IF(I191+[1]SADC!I191-[1]SADC!J191-J191&gt;0,I191+[1]SADC!I191-[1]SADC!J191-J191,0)</f>
        <v>0</v>
      </c>
      <c r="L191" s="182">
        <f>+IF(J191+[1]SADC!J191-[1]SADC!I191-I191&gt;0,J191+[1]SADC!J191-[1]SADC!I191-I191,0)</f>
        <v>0</v>
      </c>
      <c r="M191" s="182">
        <f>+IF(K191+[1]SADC!K191-[1]SADC!L191-L191&gt;0,K191+[1]SADC!K191-[1]SADC!L191-L191,0)</f>
        <v>0</v>
      </c>
      <c r="N191" s="182">
        <f>+IF(L191+[1]SADC!L191-[1]SADC!K191-K191&gt;0,L191+[1]SADC!L191-[1]SADC!K191-K191,0)</f>
        <v>0</v>
      </c>
      <c r="O191" s="182">
        <f>+IF(M191+[1]SADC!M191-[1]SADC!N191-N191&gt;0,M191+[1]SADC!M191-[1]SADC!N191-N191,0)</f>
        <v>0</v>
      </c>
      <c r="P191" s="182">
        <f>+IF(N191+[1]SADC!N191-[1]SADC!M191-M191&gt;0,N191+[1]SADC!N191-[1]SADC!M191-M191,0)</f>
        <v>0</v>
      </c>
      <c r="Q191" s="182">
        <f>+IF(O191+[1]SADC!O191-[1]SADC!P191-P191&gt;0,O191+[1]SADC!O191-[1]SADC!P191-P191,0)</f>
        <v>0</v>
      </c>
      <c r="R191" s="182">
        <f>+IF(P191+[1]SADC!P191-[1]SADC!O191-O191&gt;0,P191+[1]SADC!P191-[1]SADC!O191-O191,0)</f>
        <v>0</v>
      </c>
      <c r="S191" s="182">
        <f>+IF(Q191+[1]SADC!Q191-[1]SADC!R191-R191&gt;0,Q191+[1]SADC!Q191-[1]SADC!R191-R191,0)</f>
        <v>0</v>
      </c>
      <c r="T191" s="182">
        <f>+IF(R191+[1]SADC!R191-[1]SADC!Q191-Q191&gt;0,R191+[1]SADC!R191-[1]SADC!Q191-Q191,0)</f>
        <v>0</v>
      </c>
      <c r="U191" s="182">
        <f>+IF(S191+[1]SADC!S191-[1]SADC!T191-T191&gt;0,S191+[1]SADC!S191-[1]SADC!T191-T191,0)</f>
        <v>0</v>
      </c>
      <c r="V191" s="182">
        <f>+IF(T191+[1]SADC!T191-[1]SADC!S191-S191&gt;0,T191+[1]SADC!T191-[1]SADC!S191-S191,0)</f>
        <v>0</v>
      </c>
      <c r="W191" s="182">
        <f>+IF(U191+[1]SADC!U191-[1]SADC!V191-V191&gt;0,U191+[1]SADC!U191-[1]SADC!V191-V191,0)</f>
        <v>0</v>
      </c>
      <c r="X191" s="182">
        <f>+IF(V191+[1]SADC!V191-[1]SADC!U191-U191&gt;0,V191+[1]SADC!V191-[1]SADC!U191-U191,0)</f>
        <v>0</v>
      </c>
      <c r="Y191" s="182">
        <f>+IF(W191+[1]SADC!W191-[1]SADC!X191-X191&gt;0,W191+[1]SADC!W191-[1]SADC!X191-X191,0)</f>
        <v>0</v>
      </c>
      <c r="Z191" s="182">
        <f>+IF(X191+[1]SADC!X191-[1]SADC!W191-W191&gt;0,X191+[1]SADC!X191-[1]SADC!W191-W191,0)</f>
        <v>0</v>
      </c>
      <c r="AA191" s="182">
        <f>+IF(Y191+[1]SADC!Y191-[1]SADC!Z191-Z191&gt;0,Y191+[1]SADC!Y191-[1]SADC!Z191-Z191,0)</f>
        <v>0</v>
      </c>
      <c r="AB191" s="182">
        <f>+IF(Z191+[1]SADC!Z191-[1]SADC!Y191-Y191&gt;0,Z191+[1]SADC!Z191-[1]SADC!Y191-Y191,0)</f>
        <v>0</v>
      </c>
      <c r="AC191" s="181"/>
      <c r="AD191" s="182">
        <f t="shared" si="2"/>
        <v>0</v>
      </c>
      <c r="AE191" s="182">
        <f t="shared" si="2"/>
        <v>0</v>
      </c>
      <c r="AF191" s="181"/>
    </row>
    <row r="192" spans="1:32">
      <c r="A192" s="181" t="str">
        <f>+VLOOKUP(B192,'[1]coa-mgb'!A$1:B$65536,2,0)</f>
        <v>Depreciation - Other Property,Plant and Equipment</v>
      </c>
      <c r="B192" s="184" t="s">
        <v>229</v>
      </c>
      <c r="C192" s="182">
        <f>+SUMIFS('[1]50501990 00'!$F$1:$F$65536,'[1]50501990 00'!$D$1:$D$65536,"Beginning Balance",'[1]50501990 00'!$D$1:$D$65536,"Beginning Balance")</f>
        <v>0</v>
      </c>
      <c r="D192" s="182">
        <f>+SUMIFS('[1]50501990 00'!$H$1:$H$65536,'[1]50501990 00'!$D$1:$D$65536,"Beginning Balance",'[1]50501990 00'!$D$1:$D$65536,"Beginning Balance")</f>
        <v>0</v>
      </c>
      <c r="E192" s="182">
        <f>+IF(C192+[1]SADC!C192-[1]SADC!D192-D192&gt;0,C192+[1]SADC!C192-[1]SADC!D192-D192,0)</f>
        <v>6789.25</v>
      </c>
      <c r="F192" s="182">
        <f>+IF(D192+[1]SADC!D192-[1]SADC!C192-C192&gt;0,D192+[1]SADC!D192-[1]SADC!C192-C192,0)</f>
        <v>0</v>
      </c>
      <c r="G192" s="182">
        <f>+IF(E192+[1]SADC!E192-[1]SADC!F192-F192&gt;0,E192+[1]SADC!E192-[1]SADC!F192-F192,0)</f>
        <v>13578.51</v>
      </c>
      <c r="H192" s="182">
        <f>+IF(F192+[1]SADC!F192-[1]SADC!E192-E192&gt;0,F192+[1]SADC!F192-[1]SADC!E192-E192,0)</f>
        <v>0</v>
      </c>
      <c r="I192" s="182">
        <f>+IF(G192+[1]SADC!G192-[1]SADC!H192-H192&gt;0,G192+[1]SADC!G192-[1]SADC!H192-H192,0)</f>
        <v>20367.86</v>
      </c>
      <c r="J192" s="182">
        <f>+IF(H192+[1]SADC!H192-[1]SADC!G192-G192&gt;0,H192+[1]SADC!H192-[1]SADC!G192-G192,0)</f>
        <v>0</v>
      </c>
      <c r="K192" s="182">
        <f>+IF(I192+[1]SADC!I192-[1]SADC!J192-J192&gt;0,I192+[1]SADC!I192-[1]SADC!J192-J192,0)</f>
        <v>20367.86</v>
      </c>
      <c r="L192" s="182">
        <f>+IF(J192+[1]SADC!J192-[1]SADC!I192-I192&gt;0,J192+[1]SADC!J192-[1]SADC!I192-I192,0)</f>
        <v>0</v>
      </c>
      <c r="M192" s="182">
        <f>+IF(K192+[1]SADC!K192-[1]SADC!L192-L192&gt;0,K192+[1]SADC!K192-[1]SADC!L192-L192,0)</f>
        <v>20367.86</v>
      </c>
      <c r="N192" s="182">
        <f>+IF(L192+[1]SADC!L192-[1]SADC!K192-K192&gt;0,L192+[1]SADC!L192-[1]SADC!K192-K192,0)</f>
        <v>0</v>
      </c>
      <c r="O192" s="182">
        <f>+IF(M192+[1]SADC!M192-[1]SADC!N192-N192&gt;0,M192+[1]SADC!M192-[1]SADC!N192-N192,0)</f>
        <v>20367.86</v>
      </c>
      <c r="P192" s="182">
        <f>+IF(N192+[1]SADC!N192-[1]SADC!M192-M192&gt;0,N192+[1]SADC!N192-[1]SADC!M192-M192,0)</f>
        <v>0</v>
      </c>
      <c r="Q192" s="182">
        <f>+IF(O192+[1]SADC!O192-[1]SADC!P192-P192&gt;0,O192+[1]SADC!O192-[1]SADC!P192-P192,0)</f>
        <v>20367.86</v>
      </c>
      <c r="R192" s="182">
        <f>+IF(P192+[1]SADC!P192-[1]SADC!O192-O192&gt;0,P192+[1]SADC!P192-[1]SADC!O192-O192,0)</f>
        <v>0</v>
      </c>
      <c r="S192" s="182">
        <f>+IF(Q192+[1]SADC!Q192-[1]SADC!R192-R192&gt;0,Q192+[1]SADC!Q192-[1]SADC!R192-R192,0)</f>
        <v>20367.86</v>
      </c>
      <c r="T192" s="182">
        <f>+IF(R192+[1]SADC!R192-[1]SADC!Q192-Q192&gt;0,R192+[1]SADC!R192-[1]SADC!Q192-Q192,0)</f>
        <v>0</v>
      </c>
      <c r="U192" s="182">
        <f>+IF(S192+[1]SADC!S192-[1]SADC!T192-T192&gt;0,S192+[1]SADC!S192-[1]SADC!T192-T192,0)</f>
        <v>20367.86</v>
      </c>
      <c r="V192" s="182">
        <f>+IF(T192+[1]SADC!T192-[1]SADC!S192-S192&gt;0,T192+[1]SADC!T192-[1]SADC!S192-S192,0)</f>
        <v>0</v>
      </c>
      <c r="W192" s="182">
        <f>+IF(U192+[1]SADC!U192-[1]SADC!V192-V192&gt;0,U192+[1]SADC!U192-[1]SADC!V192-V192,0)</f>
        <v>20367.86</v>
      </c>
      <c r="X192" s="182">
        <f>+IF(V192+[1]SADC!V192-[1]SADC!U192-U192&gt;0,V192+[1]SADC!V192-[1]SADC!U192-U192,0)</f>
        <v>0</v>
      </c>
      <c r="Y192" s="182">
        <f>+IF(W192+[1]SADC!W192-[1]SADC!X192-X192&gt;0,W192+[1]SADC!W192-[1]SADC!X192-X192,0)</f>
        <v>20367.86</v>
      </c>
      <c r="Z192" s="182">
        <f>+IF(X192+[1]SADC!X192-[1]SADC!W192-W192&gt;0,X192+[1]SADC!X192-[1]SADC!W192-W192,0)</f>
        <v>0</v>
      </c>
      <c r="AA192" s="182">
        <f>+IF(Y192+[1]SADC!Y192-[1]SADC!Z192-Z192&gt;0,Y192+[1]SADC!Y192-[1]SADC!Z192-Z192,0)</f>
        <v>20367.86</v>
      </c>
      <c r="AB192" s="182">
        <f>+IF(Z192+[1]SADC!Z192-[1]SADC!Y192-Y192&gt;0,Z192+[1]SADC!Z192-[1]SADC!Y192-Y192,0)</f>
        <v>0</v>
      </c>
      <c r="AC192" s="181"/>
      <c r="AD192" s="182">
        <f t="shared" si="2"/>
        <v>20367.86</v>
      </c>
      <c r="AE192" s="182">
        <f t="shared" si="2"/>
        <v>0</v>
      </c>
      <c r="AF192" s="181"/>
    </row>
    <row r="193" spans="1:32" ht="5.0999999999999996" customHeight="1">
      <c r="A193" s="181"/>
      <c r="B193" s="181"/>
      <c r="C193" s="181"/>
      <c r="D193" s="181"/>
      <c r="E193" s="181"/>
      <c r="F193" s="181"/>
      <c r="G193" s="181"/>
      <c r="H193" s="181"/>
      <c r="I193" s="181"/>
      <c r="J193" s="181"/>
      <c r="K193" s="181"/>
      <c r="L193" s="181"/>
      <c r="M193" s="181"/>
      <c r="N193" s="181"/>
      <c r="O193" s="181"/>
      <c r="P193" s="181"/>
      <c r="Q193" s="181"/>
      <c r="R193" s="181"/>
      <c r="S193" s="181"/>
      <c r="T193" s="181"/>
      <c r="U193" s="181"/>
      <c r="V193" s="181"/>
      <c r="W193" s="181"/>
      <c r="X193" s="181"/>
      <c r="Y193" s="181"/>
      <c r="Z193" s="181"/>
      <c r="AA193" s="181"/>
      <c r="AB193" s="181"/>
      <c r="AC193" s="181"/>
      <c r="AD193" s="182"/>
      <c r="AE193" s="182"/>
      <c r="AF193" s="181"/>
    </row>
    <row r="194" spans="1:32" s="186" customFormat="1" ht="12.75" thickBot="1">
      <c r="A194" s="314" t="s">
        <v>680</v>
      </c>
      <c r="B194" s="314"/>
      <c r="C194" s="185">
        <f>SUM(C12:C193)</f>
        <v>45534944.899999991</v>
      </c>
      <c r="D194" s="185">
        <f t="shared" ref="D194:AB194" si="3">SUM(D12:D193)</f>
        <v>45534944.900000006</v>
      </c>
      <c r="E194" s="185">
        <f t="shared" si="3"/>
        <v>48031689.399999991</v>
      </c>
      <c r="F194" s="185">
        <f t="shared" si="3"/>
        <v>48031689.399999999</v>
      </c>
      <c r="G194" s="185">
        <f t="shared" si="3"/>
        <v>50905756.159999982</v>
      </c>
      <c r="H194" s="185">
        <f t="shared" si="3"/>
        <v>50905756.159999996</v>
      </c>
      <c r="I194" s="185">
        <f t="shared" si="3"/>
        <v>53951874.25</v>
      </c>
      <c r="J194" s="185">
        <f t="shared" si="3"/>
        <v>53951874.25</v>
      </c>
      <c r="K194" s="185">
        <f t="shared" si="3"/>
        <v>53951874.25</v>
      </c>
      <c r="L194" s="185">
        <f t="shared" si="3"/>
        <v>53951874.25</v>
      </c>
      <c r="M194" s="185">
        <f t="shared" si="3"/>
        <v>53951874.25</v>
      </c>
      <c r="N194" s="185">
        <f t="shared" si="3"/>
        <v>53951874.25</v>
      </c>
      <c r="O194" s="185">
        <f t="shared" si="3"/>
        <v>53951874.25</v>
      </c>
      <c r="P194" s="185">
        <f t="shared" si="3"/>
        <v>53951874.25</v>
      </c>
      <c r="Q194" s="185">
        <f t="shared" si="3"/>
        <v>53951874.25</v>
      </c>
      <c r="R194" s="185">
        <f t="shared" si="3"/>
        <v>53951874.25</v>
      </c>
      <c r="S194" s="185">
        <f t="shared" si="3"/>
        <v>53951874.25</v>
      </c>
      <c r="T194" s="185">
        <f t="shared" si="3"/>
        <v>53951874.25</v>
      </c>
      <c r="U194" s="185">
        <f t="shared" si="3"/>
        <v>53951874.25</v>
      </c>
      <c r="V194" s="185">
        <f t="shared" si="3"/>
        <v>53951874.25</v>
      </c>
      <c r="W194" s="185">
        <f t="shared" si="3"/>
        <v>53951874.25</v>
      </c>
      <c r="X194" s="185">
        <f t="shared" si="3"/>
        <v>53951874.25</v>
      </c>
      <c r="Y194" s="185">
        <f t="shared" si="3"/>
        <v>53951874.25</v>
      </c>
      <c r="Z194" s="185">
        <f t="shared" si="3"/>
        <v>53951874.25</v>
      </c>
      <c r="AA194" s="185">
        <f t="shared" si="3"/>
        <v>53951874.25</v>
      </c>
      <c r="AB194" s="185">
        <f t="shared" si="3"/>
        <v>53951874.25</v>
      </c>
      <c r="AD194" s="185">
        <f>SUM(AD12:AD193)</f>
        <v>53951874.25</v>
      </c>
      <c r="AE194" s="185">
        <f>SUM(AE12:AE193)</f>
        <v>53951874.25</v>
      </c>
    </row>
    <row r="195" spans="1:32" ht="15.75" thickTop="1">
      <c r="D195" s="179">
        <f>+D194-C194</f>
        <v>0</v>
      </c>
      <c r="F195" s="179">
        <f>+F194-E194</f>
        <v>0</v>
      </c>
      <c r="H195" s="179">
        <f>+H194-G194</f>
        <v>0</v>
      </c>
      <c r="J195" s="179">
        <f>+J194-I194</f>
        <v>0</v>
      </c>
      <c r="L195" s="179">
        <f>+L194-K194</f>
        <v>0</v>
      </c>
      <c r="N195" s="179">
        <f>+N194-M194</f>
        <v>0</v>
      </c>
      <c r="P195" s="179">
        <f>+P194-O194</f>
        <v>0</v>
      </c>
      <c r="R195" s="179">
        <f>+R194-Q194</f>
        <v>0</v>
      </c>
      <c r="T195" s="179">
        <f>+T194-S194</f>
        <v>0</v>
      </c>
      <c r="V195" s="179">
        <f>+V194-U194</f>
        <v>0</v>
      </c>
      <c r="X195" s="179">
        <f>+X194-W194</f>
        <v>0</v>
      </c>
      <c r="Z195" s="179">
        <f>+Z194-Y194</f>
        <v>0</v>
      </c>
      <c r="AB195" s="179">
        <f>+AB194-AA194</f>
        <v>0</v>
      </c>
      <c r="AE195" s="179">
        <f>+AE194-AD194</f>
        <v>0</v>
      </c>
    </row>
    <row r="196" spans="1:32">
      <c r="C196" s="179"/>
      <c r="D196" s="179"/>
    </row>
    <row r="197" spans="1:32">
      <c r="C197" s="179"/>
      <c r="D197" s="179"/>
      <c r="F197" s="180"/>
      <c r="AD197" t="s">
        <v>506</v>
      </c>
    </row>
    <row r="198" spans="1:32">
      <c r="D198" s="179"/>
    </row>
    <row r="199" spans="1:32">
      <c r="C199" s="179"/>
      <c r="D199" s="179"/>
      <c r="F199" s="179"/>
    </row>
    <row r="200" spans="1:32">
      <c r="C200" s="179"/>
      <c r="AD200" s="1" t="s">
        <v>507</v>
      </c>
    </row>
    <row r="201" spans="1:32">
      <c r="AD201" t="s">
        <v>508</v>
      </c>
    </row>
  </sheetData>
  <mergeCells count="50">
    <mergeCell ref="C9:D9"/>
    <mergeCell ref="E9:F9"/>
    <mergeCell ref="G9:H9"/>
    <mergeCell ref="I9:J9"/>
    <mergeCell ref="K9:L9"/>
    <mergeCell ref="A1:AE1"/>
    <mergeCell ref="A2:AE2"/>
    <mergeCell ref="A3:AE3"/>
    <mergeCell ref="A5:AE5"/>
    <mergeCell ref="A6:AE6"/>
    <mergeCell ref="Y9:Z9"/>
    <mergeCell ref="AA9:AB9"/>
    <mergeCell ref="AD9:AE9"/>
    <mergeCell ref="A10:A11"/>
    <mergeCell ref="B10:B11"/>
    <mergeCell ref="C10:C11"/>
    <mergeCell ref="D10:D11"/>
    <mergeCell ref="E10:E11"/>
    <mergeCell ref="F10:F11"/>
    <mergeCell ref="G10:G11"/>
    <mergeCell ref="M9:N9"/>
    <mergeCell ref="O9:P9"/>
    <mergeCell ref="Q9:R9"/>
    <mergeCell ref="S9:T9"/>
    <mergeCell ref="U9:V9"/>
    <mergeCell ref="W9:X9"/>
    <mergeCell ref="X10:X11"/>
    <mergeCell ref="Y10:Y11"/>
    <mergeCell ref="N10:N11"/>
    <mergeCell ref="O10:O11"/>
    <mergeCell ref="P10:P11"/>
    <mergeCell ref="Q10:Q11"/>
    <mergeCell ref="R10:R11"/>
    <mergeCell ref="S10:S11"/>
    <mergeCell ref="A194:B194"/>
    <mergeCell ref="T10:T11"/>
    <mergeCell ref="U10:U11"/>
    <mergeCell ref="V10:V11"/>
    <mergeCell ref="W10:W11"/>
    <mergeCell ref="H10:H11"/>
    <mergeCell ref="I10:I11"/>
    <mergeCell ref="J10:J11"/>
    <mergeCell ref="K10:K11"/>
    <mergeCell ref="L10:L11"/>
    <mergeCell ref="M10:M11"/>
    <mergeCell ref="Z10:Z11"/>
    <mergeCell ref="AA10:AA11"/>
    <mergeCell ref="AB10:AB11"/>
    <mergeCell ref="AD10:AD11"/>
    <mergeCell ref="AE10:AE11"/>
  </mergeCells>
  <pageMargins left="0.7" right="0.7" top="0.75" bottom="0.75" header="0.3" footer="0.3"/>
  <pageSetup scale="93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2"/>
  <sheetViews>
    <sheetView tabSelected="1" topLeftCell="A163" workbookViewId="0">
      <selection activeCell="B172" sqref="B172"/>
    </sheetView>
  </sheetViews>
  <sheetFormatPr defaultRowHeight="12.75" outlineLevelCol="1"/>
  <cols>
    <col min="1" max="1" width="5.7109375" style="181" customWidth="1"/>
    <col min="2" max="2" width="64.140625" style="181" bestFit="1" customWidth="1"/>
    <col min="3" max="3" width="2.7109375" style="188" customWidth="1"/>
    <col min="4" max="15" width="15.7109375" style="181" hidden="1" customWidth="1" outlineLevel="1"/>
    <col min="16" max="16" width="15.7109375" style="181" customWidth="1" collapsed="1"/>
    <col min="17" max="16384" width="9.140625" style="181"/>
  </cols>
  <sheetData>
    <row r="1" spans="1:17">
      <c r="A1" s="318" t="s">
        <v>667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7">
      <c r="A2" s="319" t="s">
        <v>668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7">
      <c r="A3" s="318" t="s">
        <v>669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7" ht="15" customHeight="1">
      <c r="A4" s="318" t="s">
        <v>701</v>
      </c>
      <c r="B4" s="318"/>
      <c r="C4" s="318"/>
      <c r="D4" s="318"/>
      <c r="E4" s="318"/>
      <c r="F4" s="318"/>
      <c r="G4" s="318"/>
      <c r="H4" s="318"/>
      <c r="I4" s="318"/>
      <c r="J4" s="318"/>
      <c r="K4" s="318"/>
      <c r="L4" s="318"/>
      <c r="M4" s="318"/>
      <c r="N4" s="318"/>
      <c r="O4" s="318"/>
      <c r="P4" s="318"/>
      <c r="Q4" s="201"/>
    </row>
    <row r="5" spans="1:17">
      <c r="A5" s="318" t="s">
        <v>700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1:17">
      <c r="A6" s="319" t="s">
        <v>604</v>
      </c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</row>
    <row r="7" spans="1:17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7">
      <c r="D8" s="189">
        <v>42400</v>
      </c>
      <c r="E8" s="189">
        <v>42429</v>
      </c>
      <c r="F8" s="189">
        <v>42460</v>
      </c>
      <c r="G8" s="189">
        <v>42490</v>
      </c>
      <c r="H8" s="189">
        <v>42521</v>
      </c>
      <c r="I8" s="189">
        <v>42551</v>
      </c>
      <c r="J8" s="189">
        <v>42582</v>
      </c>
      <c r="K8" s="189">
        <v>42613</v>
      </c>
      <c r="L8" s="189">
        <v>42643</v>
      </c>
      <c r="M8" s="189">
        <v>42674</v>
      </c>
      <c r="N8" s="189">
        <v>42704</v>
      </c>
      <c r="O8" s="189">
        <v>42735</v>
      </c>
      <c r="P8" s="190"/>
    </row>
    <row r="9" spans="1:17">
      <c r="A9" s="191" t="s">
        <v>681</v>
      </c>
    </row>
    <row r="10" spans="1:17" ht="5.0999999999999996" customHeight="1"/>
    <row r="11" spans="1:17">
      <c r="B11" s="191" t="s">
        <v>682</v>
      </c>
      <c r="C11" s="192"/>
    </row>
    <row r="12" spans="1:17" ht="5.0999999999999996" customHeight="1">
      <c r="C12" s="192"/>
    </row>
    <row r="13" spans="1:17">
      <c r="B13" s="193" t="s">
        <v>322</v>
      </c>
      <c r="C13" s="192" t="s">
        <v>100</v>
      </c>
      <c r="D13" s="182">
        <f>+SUMIF([1]tb!$B$1:$B$65536,$C13,[1]tb!$F$1:$F$65536)</f>
        <v>126570</v>
      </c>
      <c r="E13" s="182">
        <f>+SUMIF([1]tb!$B$1:$B$65536,$C13,[1]tb!$H$1:$H$65536)</f>
        <v>235390</v>
      </c>
      <c r="F13" s="182">
        <f>+SUMIF([1]tb!$B$1:$B$65536,$C13,[1]tb!$J$1:$J$65536)</f>
        <v>370240</v>
      </c>
      <c r="G13" s="182">
        <f>+SUMIF([1]tb!$B$1:$B$65536,$C13,[1]tb!$L$1:$L$65536)</f>
        <v>370240</v>
      </c>
      <c r="H13" s="182">
        <f>+SUMIF([1]tb!$B$1:$B$65536,$C13,[1]tb!$N$1:$N$65536)</f>
        <v>370240</v>
      </c>
      <c r="I13" s="182">
        <f>+SUMIF([1]tb!$B$1:$B$65536,$C13,[1]tb!$P$1:$P$65536)</f>
        <v>370240</v>
      </c>
      <c r="J13" s="182">
        <f>+SUMIF([1]tb!$B$1:$B$65536,$C13,[1]tb!$R$1:$R$65536)</f>
        <v>370240</v>
      </c>
      <c r="K13" s="182">
        <f>+SUMIF([1]tb!$B$1:$B$65536,$C13,[1]tb!$T$1:$T$65536)</f>
        <v>370240</v>
      </c>
      <c r="L13" s="182">
        <f>+SUMIF([1]tb!$B$1:$B$65536,$C13,[1]tb!$V$1:$V$65536)</f>
        <v>370240</v>
      </c>
      <c r="M13" s="182">
        <f>+SUMIF([1]tb!$B$1:$B$65536,$C13,[1]tb!$X$1:$X$65536)</f>
        <v>370240</v>
      </c>
      <c r="N13" s="182">
        <f>+SUMIF([1]tb!$B$1:$B$65536,$C13,[1]tb!$Z$1:$Z$65536)</f>
        <v>370240</v>
      </c>
      <c r="O13" s="182">
        <f>+SUMIF([1]tb!$B$1:$B$65536,$C13,[1]tb!$AB$1:$AB$65536)</f>
        <v>370240</v>
      </c>
      <c r="P13" s="182">
        <f>+O13</f>
        <v>370240</v>
      </c>
    </row>
    <row r="14" spans="1:17">
      <c r="B14" s="193" t="s">
        <v>676</v>
      </c>
      <c r="C14" s="192" t="s">
        <v>677</v>
      </c>
      <c r="D14" s="194">
        <f>+SUMIF([1]tb!$B$1:$B$65536,$C14,[1]tb!$F$1:$F$65536)</f>
        <v>266040</v>
      </c>
      <c r="E14" s="182">
        <f>+SUMIF([1]tb!$B$1:$B$65536,$C14,[1]tb!$H$1:$H$65536)</f>
        <v>558590</v>
      </c>
      <c r="F14" s="182">
        <f>+SUMIF([1]tb!$B$1:$B$65536,$C14,[1]tb!$J$1:$J$65536)</f>
        <v>840190</v>
      </c>
      <c r="G14" s="182">
        <f>+SUMIF([1]tb!$B$1:$B$65536,$C14,[1]tb!$L$1:$L$65536)</f>
        <v>840190</v>
      </c>
      <c r="H14" s="182">
        <f>+SUMIF([1]tb!$B$1:$B$65536,$C14,[1]tb!$N$1:$N$65536)</f>
        <v>840190</v>
      </c>
      <c r="I14" s="182">
        <f>+SUMIF([1]tb!$B$1:$B$65536,$C14,[1]tb!$P$1:$P$65536)</f>
        <v>840190</v>
      </c>
      <c r="J14" s="182">
        <f>+SUMIF([1]tb!$B$1:$B$65536,$C14,[1]tb!$R$1:$R$65536)</f>
        <v>840190</v>
      </c>
      <c r="K14" s="182">
        <f>+SUMIF([1]tb!$B$1:$B$65536,$C14,[1]tb!$T$1:$T$65536)</f>
        <v>840190</v>
      </c>
      <c r="L14" s="182">
        <f>+SUMIF([1]tb!$B$1:$B$65536,$C14,[1]tb!$V$1:$V$65536)</f>
        <v>840190</v>
      </c>
      <c r="M14" s="182">
        <f>+SUMIF([1]tb!$B$1:$B$65536,$C14,[1]tb!$X$1:$X$65536)</f>
        <v>840190</v>
      </c>
      <c r="N14" s="182">
        <f>+SUMIF([1]tb!$B$1:$B$65536,$C14,[1]tb!$Z$1:$Z$65536)</f>
        <v>840190</v>
      </c>
      <c r="O14" s="182">
        <f>+SUMIF([1]tb!$B$1:$B$65536,$C14,[1]tb!$AB$1:$AB$65536)</f>
        <v>840190</v>
      </c>
      <c r="P14" s="182">
        <f t="shared" ref="P14:P30" si="0">+O14</f>
        <v>840190</v>
      </c>
    </row>
    <row r="15" spans="1:17" hidden="1">
      <c r="B15" s="193" t="s">
        <v>324</v>
      </c>
      <c r="C15" s="192" t="s">
        <v>102</v>
      </c>
      <c r="D15" s="182">
        <f>+SUMIF([1]tb!$B$1:$B$65536,$C15,[1]tb!$F$1:$F$65536)</f>
        <v>0</v>
      </c>
      <c r="E15" s="182">
        <f>+SUMIF([1]tb!$B$1:$B$65536,$C15,[1]tb!$H$1:$H$65536)</f>
        <v>0</v>
      </c>
      <c r="F15" s="182">
        <f>+SUMIF([1]tb!$B$1:$B$65536,$C15,[1]tb!$J$1:$J$65536)</f>
        <v>0</v>
      </c>
      <c r="G15" s="182">
        <f>+SUMIF([1]tb!$B$1:$B$65536,$C15,[1]tb!$L$1:$L$65536)</f>
        <v>0</v>
      </c>
      <c r="H15" s="182">
        <f>+SUMIF([1]tb!$B$1:$B$65536,$C15,[1]tb!$N$1:$N$65536)</f>
        <v>0</v>
      </c>
      <c r="I15" s="182">
        <f>+SUMIF([1]tb!$B$1:$B$65536,$C15,[1]tb!$P$1:$P$65536)</f>
        <v>0</v>
      </c>
      <c r="J15" s="182">
        <f>+SUMIF([1]tb!$B$1:$B$65536,$C15,[1]tb!$R$1:$R$65536)</f>
        <v>0</v>
      </c>
      <c r="K15" s="182">
        <f>+SUMIF([1]tb!$B$1:$B$65536,$C15,[1]tb!$T$1:$T$65536)</f>
        <v>0</v>
      </c>
      <c r="L15" s="182">
        <f>+SUMIF([1]tb!$B$1:$B$65536,$C15,[1]tb!$V$1:$V$65536)</f>
        <v>0</v>
      </c>
      <c r="M15" s="182">
        <f>+SUMIF([1]tb!$B$1:$B$65536,$C15,[1]tb!$X$1:$X$65536)</f>
        <v>0</v>
      </c>
      <c r="N15" s="182">
        <f>+SUMIF([1]tb!$B$1:$B$65536,$C15,[1]tb!$Z$1:$Z$65536)</f>
        <v>0</v>
      </c>
      <c r="O15" s="182">
        <f>+SUMIF([1]tb!$B$1:$B$65536,$C15,[1]tb!$AB$1:$AB$65536)</f>
        <v>0</v>
      </c>
      <c r="P15" s="182">
        <f t="shared" si="0"/>
        <v>0</v>
      </c>
    </row>
    <row r="16" spans="1:17" hidden="1">
      <c r="B16" s="193" t="s">
        <v>325</v>
      </c>
      <c r="C16" s="192" t="s">
        <v>103</v>
      </c>
      <c r="D16" s="182">
        <f>+SUMIF([1]tb!$B$1:$B$65536,$C16,[1]tb!$F$1:$F$65536)</f>
        <v>0</v>
      </c>
      <c r="E16" s="182">
        <f>+SUMIF([1]tb!$B$1:$B$65536,$C16,[1]tb!$H$1:$H$65536)</f>
        <v>0</v>
      </c>
      <c r="F16" s="182">
        <f>+SUMIF([1]tb!$B$1:$B$65536,$C16,[1]tb!$J$1:$J$65536)</f>
        <v>0</v>
      </c>
      <c r="G16" s="182">
        <f>+SUMIF([1]tb!$B$1:$B$65536,$C16,[1]tb!$L$1:$L$65536)</f>
        <v>0</v>
      </c>
      <c r="H16" s="182">
        <f>+SUMIF([1]tb!$B$1:$B$65536,$C16,[1]tb!$N$1:$N$65536)</f>
        <v>0</v>
      </c>
      <c r="I16" s="182">
        <f>+SUMIF([1]tb!$B$1:$B$65536,$C16,[1]tb!$P$1:$P$65536)</f>
        <v>0</v>
      </c>
      <c r="J16" s="182">
        <f>+SUMIF([1]tb!$B$1:$B$65536,$C16,[1]tb!$R$1:$R$65536)</f>
        <v>0</v>
      </c>
      <c r="K16" s="182">
        <f>+SUMIF([1]tb!$B$1:$B$65536,$C16,[1]tb!$T$1:$T$65536)</f>
        <v>0</v>
      </c>
      <c r="L16" s="182">
        <f>+SUMIF([1]tb!$B$1:$B$65536,$C16,[1]tb!$V$1:$V$65536)</f>
        <v>0</v>
      </c>
      <c r="M16" s="182">
        <f>+SUMIF([1]tb!$B$1:$B$65536,$C16,[1]tb!$X$1:$X$65536)</f>
        <v>0</v>
      </c>
      <c r="N16" s="182">
        <f>+SUMIF([1]tb!$B$1:$B$65536,$C16,[1]tb!$Z$1:$Z$65536)</f>
        <v>0</v>
      </c>
      <c r="O16" s="182">
        <f>+SUMIF([1]tb!$B$1:$B$65536,$C16,[1]tb!$AB$1:$AB$65536)</f>
        <v>0</v>
      </c>
      <c r="P16" s="182">
        <f t="shared" si="0"/>
        <v>0</v>
      </c>
    </row>
    <row r="17" spans="2:16" hidden="1">
      <c r="B17" s="193" t="s">
        <v>326</v>
      </c>
      <c r="C17" s="192" t="s">
        <v>104</v>
      </c>
      <c r="D17" s="182">
        <f>+SUMIF([1]tb!$B$1:$B$65536,$C17,[1]tb!$F$1:$F$65536)</f>
        <v>0</v>
      </c>
      <c r="E17" s="182">
        <f>+SUMIF([1]tb!$B$1:$B$65536,$C17,[1]tb!$H$1:$H$65536)</f>
        <v>0</v>
      </c>
      <c r="F17" s="182">
        <f>+SUMIF([1]tb!$B$1:$B$65536,$C17,[1]tb!$J$1:$J$65536)</f>
        <v>0</v>
      </c>
      <c r="G17" s="182">
        <f>+SUMIF([1]tb!$B$1:$B$65536,$C17,[1]tb!$L$1:$L$65536)</f>
        <v>0</v>
      </c>
      <c r="H17" s="182">
        <f>+SUMIF([1]tb!$B$1:$B$65536,$C17,[1]tb!$N$1:$N$65536)</f>
        <v>0</v>
      </c>
      <c r="I17" s="182">
        <f>+SUMIF([1]tb!$B$1:$B$65536,$C17,[1]tb!$P$1:$P$65536)</f>
        <v>0</v>
      </c>
      <c r="J17" s="182">
        <f>+SUMIF([1]tb!$B$1:$B$65536,$C17,[1]tb!$R$1:$R$65536)</f>
        <v>0</v>
      </c>
      <c r="K17" s="182">
        <f>+SUMIF([1]tb!$B$1:$B$65536,$C17,[1]tb!$T$1:$T$65536)</f>
        <v>0</v>
      </c>
      <c r="L17" s="182">
        <f>+SUMIF([1]tb!$B$1:$B$65536,$C17,[1]tb!$V$1:$V$65536)</f>
        <v>0</v>
      </c>
      <c r="M17" s="182">
        <f>+SUMIF([1]tb!$B$1:$B$65536,$C17,[1]tb!$X$1:$X$65536)</f>
        <v>0</v>
      </c>
      <c r="N17" s="182">
        <f>+SUMIF([1]tb!$B$1:$B$65536,$C17,[1]tb!$Z$1:$Z$65536)</f>
        <v>0</v>
      </c>
      <c r="O17" s="182">
        <f>+SUMIF([1]tb!$B$1:$B$65536,$C17,[1]tb!$AB$1:$AB$65536)</f>
        <v>0</v>
      </c>
      <c r="P17" s="182">
        <f t="shared" si="0"/>
        <v>0</v>
      </c>
    </row>
    <row r="18" spans="2:16" hidden="1">
      <c r="B18" s="193" t="s">
        <v>327</v>
      </c>
      <c r="C18" s="192" t="s">
        <v>105</v>
      </c>
      <c r="D18" s="182">
        <f>+SUMIF([1]tb!$B$1:$B$65536,$C18,[1]tb!$F$1:$F$65536)</f>
        <v>0</v>
      </c>
      <c r="E18" s="182">
        <f>+SUMIF([1]tb!$B$1:$B$65536,$C18,[1]tb!$H$1:$H$65536)</f>
        <v>0</v>
      </c>
      <c r="F18" s="182">
        <f>+SUMIF([1]tb!$B$1:$B$65536,$C18,[1]tb!$J$1:$J$65536)</f>
        <v>0</v>
      </c>
      <c r="G18" s="182">
        <f>+SUMIF([1]tb!$B$1:$B$65536,$C18,[1]tb!$L$1:$L$65536)</f>
        <v>0</v>
      </c>
      <c r="H18" s="182">
        <f>+SUMIF([1]tb!$B$1:$B$65536,$C18,[1]tb!$N$1:$N$65536)</f>
        <v>0</v>
      </c>
      <c r="I18" s="182">
        <f>+SUMIF([1]tb!$B$1:$B$65536,$C18,[1]tb!$P$1:$P$65536)</f>
        <v>0</v>
      </c>
      <c r="J18" s="182">
        <f>+SUMIF([1]tb!$B$1:$B$65536,$C18,[1]tb!$R$1:$R$65536)</f>
        <v>0</v>
      </c>
      <c r="K18" s="182">
        <f>+SUMIF([1]tb!$B$1:$B$65536,$C18,[1]tb!$T$1:$T$65536)</f>
        <v>0</v>
      </c>
      <c r="L18" s="182">
        <f>+SUMIF([1]tb!$B$1:$B$65536,$C18,[1]tb!$V$1:$V$65536)</f>
        <v>0</v>
      </c>
      <c r="M18" s="182">
        <f>+SUMIF([1]tb!$B$1:$B$65536,$C18,[1]tb!$X$1:$X$65536)</f>
        <v>0</v>
      </c>
      <c r="N18" s="182">
        <f>+SUMIF([1]tb!$B$1:$B$65536,$C18,[1]tb!$Z$1:$Z$65536)</f>
        <v>0</v>
      </c>
      <c r="O18" s="182">
        <f>+SUMIF([1]tb!$B$1:$B$65536,$C18,[1]tb!$AB$1:$AB$65536)</f>
        <v>0</v>
      </c>
      <c r="P18" s="182">
        <f t="shared" si="0"/>
        <v>0</v>
      </c>
    </row>
    <row r="19" spans="2:16" hidden="1">
      <c r="B19" s="193" t="s">
        <v>328</v>
      </c>
      <c r="C19" s="192" t="s">
        <v>106</v>
      </c>
      <c r="D19" s="182">
        <f>+SUMIF([1]tb!$B$1:$B$65536,$C19,[1]tb!$F$1:$F$65536)</f>
        <v>0</v>
      </c>
      <c r="E19" s="182">
        <f>+SUMIF([1]tb!$B$1:$B$65536,$C19,[1]tb!$H$1:$H$65536)</f>
        <v>0</v>
      </c>
      <c r="F19" s="182">
        <f>+SUMIF([1]tb!$B$1:$B$65536,$C19,[1]tb!$J$1:$J$65536)</f>
        <v>0</v>
      </c>
      <c r="G19" s="182">
        <f>+SUMIF([1]tb!$B$1:$B$65536,$C19,[1]tb!$L$1:$L$65536)</f>
        <v>0</v>
      </c>
      <c r="H19" s="182">
        <f>+SUMIF([1]tb!$B$1:$B$65536,$C19,[1]tb!$N$1:$N$65536)</f>
        <v>0</v>
      </c>
      <c r="I19" s="182">
        <f>+SUMIF([1]tb!$B$1:$B$65536,$C19,[1]tb!$P$1:$P$65536)</f>
        <v>0</v>
      </c>
      <c r="J19" s="182">
        <f>+SUMIF([1]tb!$B$1:$B$65536,$C19,[1]tb!$R$1:$R$65536)</f>
        <v>0</v>
      </c>
      <c r="K19" s="182">
        <f>+SUMIF([1]tb!$B$1:$B$65536,$C19,[1]tb!$T$1:$T$65536)</f>
        <v>0</v>
      </c>
      <c r="L19" s="182">
        <f>+SUMIF([1]tb!$B$1:$B$65536,$C19,[1]tb!$V$1:$V$65536)</f>
        <v>0</v>
      </c>
      <c r="M19" s="182">
        <f>+SUMIF([1]tb!$B$1:$B$65536,$C19,[1]tb!$X$1:$X$65536)</f>
        <v>0</v>
      </c>
      <c r="N19" s="182">
        <f>+SUMIF([1]tb!$B$1:$B$65536,$C19,[1]tb!$Z$1:$Z$65536)</f>
        <v>0</v>
      </c>
      <c r="O19" s="182">
        <f>+SUMIF([1]tb!$B$1:$B$65536,$C19,[1]tb!$AB$1:$AB$65536)</f>
        <v>0</v>
      </c>
      <c r="P19" s="182">
        <f t="shared" si="0"/>
        <v>0</v>
      </c>
    </row>
    <row r="20" spans="2:16" hidden="1">
      <c r="B20" s="193" t="s">
        <v>329</v>
      </c>
      <c r="C20" s="192" t="s">
        <v>107</v>
      </c>
      <c r="D20" s="182">
        <f>+SUMIF([1]tb!$B$1:$B$65536,$C20,[1]tb!$F$1:$F$65536)</f>
        <v>0</v>
      </c>
      <c r="E20" s="182">
        <f>+SUMIF([1]tb!$B$1:$B$65536,$C20,[1]tb!$H$1:$H$65536)</f>
        <v>0</v>
      </c>
      <c r="F20" s="182">
        <f>+SUMIF([1]tb!$B$1:$B$65536,$C20,[1]tb!$J$1:$J$65536)</f>
        <v>0</v>
      </c>
      <c r="G20" s="182">
        <f>+SUMIF([1]tb!$B$1:$B$65536,$C20,[1]tb!$L$1:$L$65536)</f>
        <v>0</v>
      </c>
      <c r="H20" s="182">
        <f>+SUMIF([1]tb!$B$1:$B$65536,$C20,[1]tb!$N$1:$N$65536)</f>
        <v>0</v>
      </c>
      <c r="I20" s="182">
        <f>+SUMIF([1]tb!$B$1:$B$65536,$C20,[1]tb!$P$1:$P$65536)</f>
        <v>0</v>
      </c>
      <c r="J20" s="182">
        <f>+SUMIF([1]tb!$B$1:$B$65536,$C20,[1]tb!$R$1:$R$65536)</f>
        <v>0</v>
      </c>
      <c r="K20" s="182">
        <f>+SUMIF([1]tb!$B$1:$B$65536,$C20,[1]tb!$T$1:$T$65536)</f>
        <v>0</v>
      </c>
      <c r="L20" s="182">
        <f>+SUMIF([1]tb!$B$1:$B$65536,$C20,[1]tb!$V$1:$V$65536)</f>
        <v>0</v>
      </c>
      <c r="M20" s="182">
        <f>+SUMIF([1]tb!$B$1:$B$65536,$C20,[1]tb!$X$1:$X$65536)</f>
        <v>0</v>
      </c>
      <c r="N20" s="182">
        <f>+SUMIF([1]tb!$B$1:$B$65536,$C20,[1]tb!$Z$1:$Z$65536)</f>
        <v>0</v>
      </c>
      <c r="O20" s="182">
        <f>+SUMIF([1]tb!$B$1:$B$65536,$C20,[1]tb!$AB$1:$AB$65536)</f>
        <v>0</v>
      </c>
      <c r="P20" s="182">
        <f t="shared" si="0"/>
        <v>0</v>
      </c>
    </row>
    <row r="21" spans="2:16" hidden="1">
      <c r="B21" s="193" t="s">
        <v>330</v>
      </c>
      <c r="C21" s="192" t="s">
        <v>108</v>
      </c>
      <c r="D21" s="182">
        <f>+SUMIF([1]tb!$B$1:$B$65536,$C21,[1]tb!$F$1:$F$65536)</f>
        <v>0</v>
      </c>
      <c r="E21" s="182">
        <f>+SUMIF([1]tb!$B$1:$B$65536,$C21,[1]tb!$H$1:$H$65536)</f>
        <v>0</v>
      </c>
      <c r="F21" s="182">
        <f>+SUMIF([1]tb!$B$1:$B$65536,$C21,[1]tb!$J$1:$J$65536)</f>
        <v>0</v>
      </c>
      <c r="G21" s="182">
        <f>+SUMIF([1]tb!$B$1:$B$65536,$C21,[1]tb!$L$1:$L$65536)</f>
        <v>0</v>
      </c>
      <c r="H21" s="182">
        <f>+SUMIF([1]tb!$B$1:$B$65536,$C21,[1]tb!$N$1:$N$65536)</f>
        <v>0</v>
      </c>
      <c r="I21" s="182">
        <f>+SUMIF([1]tb!$B$1:$B$65536,$C21,[1]tb!$P$1:$P$65536)</f>
        <v>0</v>
      </c>
      <c r="J21" s="182">
        <f>+SUMIF([1]tb!$B$1:$B$65536,$C21,[1]tb!$R$1:$R$65536)</f>
        <v>0</v>
      </c>
      <c r="K21" s="182">
        <f>+SUMIF([1]tb!$B$1:$B$65536,$C21,[1]tb!$T$1:$T$65536)</f>
        <v>0</v>
      </c>
      <c r="L21" s="182">
        <f>+SUMIF([1]tb!$B$1:$B$65536,$C21,[1]tb!$V$1:$V$65536)</f>
        <v>0</v>
      </c>
      <c r="M21" s="182">
        <f>+SUMIF([1]tb!$B$1:$B$65536,$C21,[1]tb!$X$1:$X$65536)</f>
        <v>0</v>
      </c>
      <c r="N21" s="182">
        <f>+SUMIF([1]tb!$B$1:$B$65536,$C21,[1]tb!$Z$1:$Z$65536)</f>
        <v>0</v>
      </c>
      <c r="O21" s="182">
        <f>+SUMIF([1]tb!$B$1:$B$65536,$C21,[1]tb!$AB$1:$AB$65536)</f>
        <v>0</v>
      </c>
      <c r="P21" s="182">
        <f t="shared" si="0"/>
        <v>0</v>
      </c>
    </row>
    <row r="22" spans="2:16" hidden="1">
      <c r="B22" s="193" t="s">
        <v>331</v>
      </c>
      <c r="C22" s="192" t="s">
        <v>109</v>
      </c>
      <c r="D22" s="182">
        <f>+SUMIF([1]tb!$B$1:$B$65536,$C22,[1]tb!$F$1:$F$65536)</f>
        <v>0</v>
      </c>
      <c r="E22" s="182">
        <f>+SUMIF([1]tb!$B$1:$B$65536,$C22,[1]tb!$H$1:$H$65536)</f>
        <v>0</v>
      </c>
      <c r="F22" s="182">
        <f>+SUMIF([1]tb!$B$1:$B$65536,$C22,[1]tb!$J$1:$J$65536)</f>
        <v>0</v>
      </c>
      <c r="G22" s="182">
        <f>+SUMIF([1]tb!$B$1:$B$65536,$C22,[1]tb!$L$1:$L$65536)</f>
        <v>0</v>
      </c>
      <c r="H22" s="182">
        <f>+SUMIF([1]tb!$B$1:$B$65536,$C22,[1]tb!$N$1:$N$65536)</f>
        <v>0</v>
      </c>
      <c r="I22" s="182">
        <f>+SUMIF([1]tb!$B$1:$B$65536,$C22,[1]tb!$P$1:$P$65536)</f>
        <v>0</v>
      </c>
      <c r="J22" s="182">
        <f>+SUMIF([1]tb!$B$1:$B$65536,$C22,[1]tb!$R$1:$R$65536)</f>
        <v>0</v>
      </c>
      <c r="K22" s="182">
        <f>+SUMIF([1]tb!$B$1:$B$65536,$C22,[1]tb!$T$1:$T$65536)</f>
        <v>0</v>
      </c>
      <c r="L22" s="182">
        <f>+SUMIF([1]tb!$B$1:$B$65536,$C22,[1]tb!$V$1:$V$65536)</f>
        <v>0</v>
      </c>
      <c r="M22" s="182">
        <f>+SUMIF([1]tb!$B$1:$B$65536,$C22,[1]tb!$X$1:$X$65536)</f>
        <v>0</v>
      </c>
      <c r="N22" s="182">
        <f>+SUMIF([1]tb!$B$1:$B$65536,$C22,[1]tb!$Z$1:$Z$65536)</f>
        <v>0</v>
      </c>
      <c r="O22" s="182">
        <f>+SUMIF([1]tb!$B$1:$B$65536,$C22,[1]tb!$AB$1:$AB$65536)</f>
        <v>0</v>
      </c>
      <c r="P22" s="182">
        <f t="shared" si="0"/>
        <v>0</v>
      </c>
    </row>
    <row r="23" spans="2:16" hidden="1">
      <c r="B23" s="193" t="s">
        <v>332</v>
      </c>
      <c r="C23" s="192" t="s">
        <v>110</v>
      </c>
      <c r="D23" s="182">
        <f>+SUMIF([1]tb!$B$1:$B$65536,$C23,[1]tb!$F$1:$F$65536)</f>
        <v>0</v>
      </c>
      <c r="E23" s="182">
        <f>+SUMIF([1]tb!$B$1:$B$65536,$C23,[1]tb!$H$1:$H$65536)</f>
        <v>0</v>
      </c>
      <c r="F23" s="182">
        <f>+SUMIF([1]tb!$B$1:$B$65536,$C23,[1]tb!$J$1:$J$65536)</f>
        <v>0</v>
      </c>
      <c r="G23" s="182">
        <f>+SUMIF([1]tb!$B$1:$B$65536,$C23,[1]tb!$L$1:$L$65536)</f>
        <v>0</v>
      </c>
      <c r="H23" s="182">
        <f>+SUMIF([1]tb!$B$1:$B$65536,$C23,[1]tb!$N$1:$N$65536)</f>
        <v>0</v>
      </c>
      <c r="I23" s="182">
        <f>+SUMIF([1]tb!$B$1:$B$65536,$C23,[1]tb!$P$1:$P$65536)</f>
        <v>0</v>
      </c>
      <c r="J23" s="182">
        <f>+SUMIF([1]tb!$B$1:$B$65536,$C23,[1]tb!$R$1:$R$65536)</f>
        <v>0</v>
      </c>
      <c r="K23" s="182">
        <f>+SUMIF([1]tb!$B$1:$B$65536,$C23,[1]tb!$T$1:$T$65536)</f>
        <v>0</v>
      </c>
      <c r="L23" s="182">
        <f>+SUMIF([1]tb!$B$1:$B$65536,$C23,[1]tb!$V$1:$V$65536)</f>
        <v>0</v>
      </c>
      <c r="M23" s="182">
        <f>+SUMIF([1]tb!$B$1:$B$65536,$C23,[1]tb!$X$1:$X$65536)</f>
        <v>0</v>
      </c>
      <c r="N23" s="182">
        <f>+SUMIF([1]tb!$B$1:$B$65536,$C23,[1]tb!$Z$1:$Z$65536)</f>
        <v>0</v>
      </c>
      <c r="O23" s="182">
        <f>+SUMIF([1]tb!$B$1:$B$65536,$C23,[1]tb!$AB$1:$AB$65536)</f>
        <v>0</v>
      </c>
      <c r="P23" s="182">
        <f t="shared" si="0"/>
        <v>0</v>
      </c>
    </row>
    <row r="24" spans="2:16" hidden="1">
      <c r="B24" s="193" t="s">
        <v>333</v>
      </c>
      <c r="C24" s="192" t="s">
        <v>111</v>
      </c>
      <c r="D24" s="182">
        <f>+SUMIF([1]tb!$B$1:$B$65536,$C24,[1]tb!$F$1:$F$65536)</f>
        <v>0</v>
      </c>
      <c r="E24" s="182">
        <f>+SUMIF([1]tb!$B$1:$B$65536,$C24,[1]tb!$H$1:$H$65536)</f>
        <v>0</v>
      </c>
      <c r="F24" s="182">
        <f>+SUMIF([1]tb!$B$1:$B$65536,$C24,[1]tb!$J$1:$J$65536)</f>
        <v>0</v>
      </c>
      <c r="G24" s="182">
        <f>+SUMIF([1]tb!$B$1:$B$65536,$C24,[1]tb!$L$1:$L$65536)</f>
        <v>0</v>
      </c>
      <c r="H24" s="182">
        <f>+SUMIF([1]tb!$B$1:$B$65536,$C24,[1]tb!$N$1:$N$65536)</f>
        <v>0</v>
      </c>
      <c r="I24" s="182">
        <f>+SUMIF([1]tb!$B$1:$B$65536,$C24,[1]tb!$P$1:$P$65536)</f>
        <v>0</v>
      </c>
      <c r="J24" s="182">
        <f>+SUMIF([1]tb!$B$1:$B$65536,$C24,[1]tb!$R$1:$R$65536)</f>
        <v>0</v>
      </c>
      <c r="K24" s="182">
        <f>+SUMIF([1]tb!$B$1:$B$65536,$C24,[1]tb!$T$1:$T$65536)</f>
        <v>0</v>
      </c>
      <c r="L24" s="182">
        <f>+SUMIF([1]tb!$B$1:$B$65536,$C24,[1]tb!$V$1:$V$65536)</f>
        <v>0</v>
      </c>
      <c r="M24" s="182">
        <f>+SUMIF([1]tb!$B$1:$B$65536,$C24,[1]tb!$X$1:$X$65536)</f>
        <v>0</v>
      </c>
      <c r="N24" s="182">
        <f>+SUMIF([1]tb!$B$1:$B$65536,$C24,[1]tb!$Z$1:$Z$65536)</f>
        <v>0</v>
      </c>
      <c r="O24" s="182">
        <f>+SUMIF([1]tb!$B$1:$B$65536,$C24,[1]tb!$AB$1:$AB$65536)</f>
        <v>0</v>
      </c>
      <c r="P24" s="182">
        <f t="shared" si="0"/>
        <v>0</v>
      </c>
    </row>
    <row r="25" spans="2:16" hidden="1">
      <c r="B25" s="193" t="s">
        <v>334</v>
      </c>
      <c r="C25" s="192" t="s">
        <v>112</v>
      </c>
      <c r="D25" s="182">
        <f>+SUMIF([1]tb!$B$1:$B$65536,$C25,[1]tb!$F$1:$F$65536)</f>
        <v>0</v>
      </c>
      <c r="E25" s="182">
        <f>+SUMIF([1]tb!$B$1:$B$65536,$C25,[1]tb!$H$1:$H$65536)</f>
        <v>0</v>
      </c>
      <c r="F25" s="182">
        <f>+SUMIF([1]tb!$B$1:$B$65536,$C25,[1]tb!$J$1:$J$65536)</f>
        <v>0</v>
      </c>
      <c r="G25" s="182">
        <f>+SUMIF([1]tb!$B$1:$B$65536,$C25,[1]tb!$L$1:$L$65536)</f>
        <v>0</v>
      </c>
      <c r="H25" s="182">
        <f>+SUMIF([1]tb!$B$1:$B$65536,$C25,[1]tb!$N$1:$N$65536)</f>
        <v>0</v>
      </c>
      <c r="I25" s="182">
        <f>+SUMIF([1]tb!$B$1:$B$65536,$C25,[1]tb!$P$1:$P$65536)</f>
        <v>0</v>
      </c>
      <c r="J25" s="182">
        <f>+SUMIF([1]tb!$B$1:$B$65536,$C25,[1]tb!$R$1:$R$65536)</f>
        <v>0</v>
      </c>
      <c r="K25" s="182">
        <f>+SUMIF([1]tb!$B$1:$B$65536,$C25,[1]tb!$T$1:$T$65536)</f>
        <v>0</v>
      </c>
      <c r="L25" s="182">
        <f>+SUMIF([1]tb!$B$1:$B$65536,$C25,[1]tb!$V$1:$V$65536)</f>
        <v>0</v>
      </c>
      <c r="M25" s="182">
        <f>+SUMIF([1]tb!$B$1:$B$65536,$C25,[1]tb!$X$1:$X$65536)</f>
        <v>0</v>
      </c>
      <c r="N25" s="182">
        <f>+SUMIF([1]tb!$B$1:$B$65536,$C25,[1]tb!$Z$1:$Z$65536)</f>
        <v>0</v>
      </c>
      <c r="O25" s="182">
        <f>+SUMIF([1]tb!$B$1:$B$65536,$C25,[1]tb!$AB$1:$AB$65536)</f>
        <v>0</v>
      </c>
      <c r="P25" s="182">
        <f t="shared" si="0"/>
        <v>0</v>
      </c>
    </row>
    <row r="26" spans="2:16" hidden="1">
      <c r="B26" s="193" t="s">
        <v>335</v>
      </c>
      <c r="C26" s="192" t="s">
        <v>113</v>
      </c>
      <c r="D26" s="182">
        <f>+SUMIF([1]tb!$B$1:$B$65536,$C26,[1]tb!$F$1:$F$65536)</f>
        <v>0</v>
      </c>
      <c r="E26" s="182">
        <f>+SUMIF([1]tb!$B$1:$B$65536,$C26,[1]tb!$H$1:$H$65536)</f>
        <v>0</v>
      </c>
      <c r="F26" s="182">
        <f>+SUMIF([1]tb!$B$1:$B$65536,$C26,[1]tb!$J$1:$J$65536)</f>
        <v>0</v>
      </c>
      <c r="G26" s="182">
        <f>+SUMIF([1]tb!$B$1:$B$65536,$C26,[1]tb!$L$1:$L$65536)</f>
        <v>0</v>
      </c>
      <c r="H26" s="182">
        <f>+SUMIF([1]tb!$B$1:$B$65536,$C26,[1]tb!$N$1:$N$65536)</f>
        <v>0</v>
      </c>
      <c r="I26" s="182">
        <f>+SUMIF([1]tb!$B$1:$B$65536,$C26,[1]tb!$P$1:$P$65536)</f>
        <v>0</v>
      </c>
      <c r="J26" s="182">
        <f>+SUMIF([1]tb!$B$1:$B$65536,$C26,[1]tb!$R$1:$R$65536)</f>
        <v>0</v>
      </c>
      <c r="K26" s="182">
        <f>+SUMIF([1]tb!$B$1:$B$65536,$C26,[1]tb!$T$1:$T$65536)</f>
        <v>0</v>
      </c>
      <c r="L26" s="182">
        <f>+SUMIF([1]tb!$B$1:$B$65536,$C26,[1]tb!$V$1:$V$65536)</f>
        <v>0</v>
      </c>
      <c r="M26" s="182">
        <f>+SUMIF([1]tb!$B$1:$B$65536,$C26,[1]tb!$X$1:$X$65536)</f>
        <v>0</v>
      </c>
      <c r="N26" s="182">
        <f>+SUMIF([1]tb!$B$1:$B$65536,$C26,[1]tb!$Z$1:$Z$65536)</f>
        <v>0</v>
      </c>
      <c r="O26" s="182">
        <f>+SUMIF([1]tb!$B$1:$B$65536,$C26,[1]tb!$AB$1:$AB$65536)</f>
        <v>0</v>
      </c>
      <c r="P26" s="182">
        <f t="shared" si="0"/>
        <v>0</v>
      </c>
    </row>
    <row r="27" spans="2:16" hidden="1">
      <c r="B27" s="193" t="s">
        <v>336</v>
      </c>
      <c r="C27" s="192" t="s">
        <v>114</v>
      </c>
      <c r="D27" s="182">
        <f>+SUMIF([1]tb!$B$1:$B$65536,$C27,[1]tb!$F$1:$F$65536)</f>
        <v>0</v>
      </c>
      <c r="E27" s="182">
        <f>+SUMIF([1]tb!$B$1:$B$65536,$C27,[1]tb!$H$1:$H$65536)</f>
        <v>0</v>
      </c>
      <c r="F27" s="182">
        <f>+SUMIF([1]tb!$B$1:$B$65536,$C27,[1]tb!$J$1:$J$65536)</f>
        <v>0</v>
      </c>
      <c r="G27" s="182">
        <f>+SUMIF([1]tb!$B$1:$B$65536,$C27,[1]tb!$L$1:$L$65536)</f>
        <v>0</v>
      </c>
      <c r="H27" s="182">
        <f>+SUMIF([1]tb!$B$1:$B$65536,$C27,[1]tb!$N$1:$N$65536)</f>
        <v>0</v>
      </c>
      <c r="I27" s="182">
        <f>+SUMIF([1]tb!$B$1:$B$65536,$C27,[1]tb!$P$1:$P$65536)</f>
        <v>0</v>
      </c>
      <c r="J27" s="182">
        <f>+SUMIF([1]tb!$B$1:$B$65536,$C27,[1]tb!$R$1:$R$65536)</f>
        <v>0</v>
      </c>
      <c r="K27" s="182">
        <f>+SUMIF([1]tb!$B$1:$B$65536,$C27,[1]tb!$T$1:$T$65536)</f>
        <v>0</v>
      </c>
      <c r="L27" s="182">
        <f>+SUMIF([1]tb!$B$1:$B$65536,$C27,[1]tb!$V$1:$V$65536)</f>
        <v>0</v>
      </c>
      <c r="M27" s="182">
        <f>+SUMIF([1]tb!$B$1:$B$65536,$C27,[1]tb!$X$1:$X$65536)</f>
        <v>0</v>
      </c>
      <c r="N27" s="182">
        <f>+SUMIF([1]tb!$B$1:$B$65536,$C27,[1]tb!$Z$1:$Z$65536)</f>
        <v>0</v>
      </c>
      <c r="O27" s="182">
        <f>+SUMIF([1]tb!$B$1:$B$65536,$C27,[1]tb!$AB$1:$AB$65536)</f>
        <v>0</v>
      </c>
      <c r="P27" s="182">
        <f t="shared" si="0"/>
        <v>0</v>
      </c>
    </row>
    <row r="28" spans="2:16">
      <c r="B28" s="193" t="s">
        <v>683</v>
      </c>
      <c r="C28" s="192" t="s">
        <v>679</v>
      </c>
      <c r="D28" s="182">
        <f>+SUMIF([1]tb!$B$1:$B$65536,$C28,[1]tb!$F$1:$F$65536)</f>
        <v>2000</v>
      </c>
      <c r="E28" s="182">
        <f>+SUMIF([1]tb!$B$1:$B$65536,$C28,[1]tb!$H$1:$H$65536)</f>
        <v>2126</v>
      </c>
      <c r="F28" s="182">
        <f>+SUMIF([1]tb!$B$1:$B$65536,$C28,[1]tb!$J$1:$J$65536)</f>
        <v>5126</v>
      </c>
      <c r="G28" s="182">
        <f>+SUMIF([1]tb!$B$1:$B$65536,$C28,[1]tb!$L$1:$L$65536)</f>
        <v>5126</v>
      </c>
      <c r="H28" s="182">
        <f>+SUMIF([1]tb!$B$1:$B$65536,$C28,[1]tb!$N$1:$N$65536)</f>
        <v>5126</v>
      </c>
      <c r="I28" s="182">
        <f>+SUMIF([1]tb!$B$1:$B$65536,$C28,[1]tb!$P$1:$P$65536)</f>
        <v>5126</v>
      </c>
      <c r="J28" s="182">
        <f>+SUMIF([1]tb!$B$1:$B$65536,$C28,[1]tb!$R$1:$R$65536)</f>
        <v>5126</v>
      </c>
      <c r="K28" s="182">
        <f>+SUMIF([1]tb!$B$1:$B$65536,$C28,[1]tb!$T$1:$T$65536)</f>
        <v>5126</v>
      </c>
      <c r="L28" s="182">
        <f>+SUMIF([1]tb!$B$1:$B$65536,$C28,[1]tb!$V$1:$V$65536)</f>
        <v>5126</v>
      </c>
      <c r="M28" s="182">
        <f>+SUMIF([1]tb!$B$1:$B$65536,$C28,[1]tb!$X$1:$X$65536)</f>
        <v>5126</v>
      </c>
      <c r="N28" s="182">
        <f>+SUMIF([1]tb!$B$1:$B$65536,$C28,[1]tb!$Z$1:$Z$65536)</f>
        <v>5126</v>
      </c>
      <c r="O28" s="182">
        <f>+SUMIF([1]tb!$B$1:$B$65536,$C28,[1]tb!$AB$1:$AB$65536)</f>
        <v>5126</v>
      </c>
      <c r="P28" s="182">
        <f t="shared" si="0"/>
        <v>5126</v>
      </c>
    </row>
    <row r="29" spans="2:16">
      <c r="B29" s="193" t="s">
        <v>338</v>
      </c>
      <c r="C29" s="192" t="s">
        <v>116</v>
      </c>
      <c r="D29" s="182">
        <f>+SUMIF([1]tb!$B$1:$B$65536,$C29,[1]tb!$F$1:$F$65536)</f>
        <v>8705</v>
      </c>
      <c r="E29" s="182">
        <f>+SUMIF([1]tb!$B$1:$B$65536,$C29,[1]tb!$H$1:$H$65536)</f>
        <v>36635</v>
      </c>
      <c r="F29" s="182">
        <f>+SUMIF([1]tb!$B$1:$B$65536,$C29,[1]tb!$J$1:$J$65536)</f>
        <v>55945</v>
      </c>
      <c r="G29" s="182">
        <f>+SUMIF([1]tb!$B$1:$B$65536,$C29,[1]tb!$L$1:$L$65536)</f>
        <v>55945</v>
      </c>
      <c r="H29" s="182">
        <f>+SUMIF([1]tb!$B$1:$B$65536,$C29,[1]tb!$N$1:$N$65536)</f>
        <v>55945</v>
      </c>
      <c r="I29" s="182">
        <f>+SUMIF([1]tb!$B$1:$B$65536,$C29,[1]tb!$P$1:$P$65536)</f>
        <v>55945</v>
      </c>
      <c r="J29" s="182">
        <f>+SUMIF([1]tb!$B$1:$B$65536,$C29,[1]tb!$R$1:$R$65536)</f>
        <v>55945</v>
      </c>
      <c r="K29" s="182">
        <f>+SUMIF([1]tb!$B$1:$B$65536,$C29,[1]tb!$T$1:$T$65536)</f>
        <v>55945</v>
      </c>
      <c r="L29" s="182">
        <f>+SUMIF([1]tb!$B$1:$B$65536,$C29,[1]tb!$V$1:$V$65536)</f>
        <v>55945</v>
      </c>
      <c r="M29" s="182">
        <f>+SUMIF([1]tb!$B$1:$B$65536,$C29,[1]tb!$X$1:$X$65536)</f>
        <v>55945</v>
      </c>
      <c r="N29" s="182">
        <f>+SUMIF([1]tb!$B$1:$B$65536,$C29,[1]tb!$Z$1:$Z$65536)</f>
        <v>55945</v>
      </c>
      <c r="O29" s="182">
        <f>+SUMIF([1]tb!$B$1:$B$65536,$C29,[1]tb!$AB$1:$AB$65536)</f>
        <v>55945</v>
      </c>
      <c r="P29" s="182">
        <f t="shared" si="0"/>
        <v>55945</v>
      </c>
    </row>
    <row r="30" spans="2:16" hidden="1">
      <c r="B30" s="193" t="s">
        <v>339</v>
      </c>
      <c r="C30" s="192" t="s">
        <v>117</v>
      </c>
      <c r="D30" s="182">
        <f>+SUMIF([1]tb!$B$1:$B$65536,$C30,[1]tb!$F$1:$F$65536)</f>
        <v>0</v>
      </c>
      <c r="E30" s="182">
        <f>+SUMIF([1]tb!$B$1:$B$65536,$C30,[1]tb!$H$1:$H$65536)</f>
        <v>0</v>
      </c>
      <c r="F30" s="182">
        <f>+SUMIF([1]tb!$B$1:$B$65536,$C30,[1]tb!$J$1:$J$65536)</f>
        <v>0</v>
      </c>
      <c r="G30" s="182">
        <f>+SUMIF([1]tb!$B$1:$B$65536,$C30,[1]tb!$L$1:$L$65536)</f>
        <v>0</v>
      </c>
      <c r="H30" s="182">
        <f>+SUMIF([1]tb!$B$1:$B$65536,$C30,[1]tb!$N$1:$N$65536)</f>
        <v>0</v>
      </c>
      <c r="I30" s="182">
        <f>+SUMIF([1]tb!$B$1:$B$65536,$C30,[1]tb!$P$1:$P$65536)</f>
        <v>0</v>
      </c>
      <c r="J30" s="182">
        <f>+SUMIF([1]tb!$B$1:$B$65536,$C30,[1]tb!$R$1:$R$65536)</f>
        <v>0</v>
      </c>
      <c r="K30" s="182">
        <f>+SUMIF([1]tb!$B$1:$B$65536,$C30,[1]tb!$T$1:$T$65536)</f>
        <v>0</v>
      </c>
      <c r="L30" s="182">
        <f>+SUMIF([1]tb!$B$1:$B$65536,$C30,[1]tb!$V$1:$V$65536)</f>
        <v>0</v>
      </c>
      <c r="M30" s="182">
        <f>+SUMIF([1]tb!$B$1:$B$65536,$C30,[1]tb!$X$1:$X$65536)</f>
        <v>0</v>
      </c>
      <c r="N30" s="182">
        <f>+SUMIF([1]tb!$B$1:$B$65536,$C30,[1]tb!$Z$1:$Z$65536)</f>
        <v>0</v>
      </c>
      <c r="O30" s="182">
        <f>+SUMIF([1]tb!$B$1:$B$65536,$C30,[1]tb!$AB$1:$AB$65536)</f>
        <v>0</v>
      </c>
      <c r="P30" s="182">
        <f t="shared" si="0"/>
        <v>0</v>
      </c>
    </row>
    <row r="31" spans="2:16" ht="5.0999999999999996" customHeight="1">
      <c r="C31" s="19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82"/>
    </row>
    <row r="32" spans="2:16">
      <c r="B32" s="195" t="s">
        <v>684</v>
      </c>
      <c r="C32" s="192"/>
      <c r="D32" s="196">
        <f>+SUM(D12:D31)</f>
        <v>403315</v>
      </c>
      <c r="E32" s="196">
        <f t="shared" ref="E32:P32" si="1">+SUM(E12:E31)</f>
        <v>832741</v>
      </c>
      <c r="F32" s="196">
        <f t="shared" si="1"/>
        <v>1271501</v>
      </c>
      <c r="G32" s="196">
        <f t="shared" si="1"/>
        <v>1271501</v>
      </c>
      <c r="H32" s="196">
        <f t="shared" si="1"/>
        <v>1271501</v>
      </c>
      <c r="I32" s="196">
        <f t="shared" si="1"/>
        <v>1271501</v>
      </c>
      <c r="J32" s="196">
        <f t="shared" si="1"/>
        <v>1271501</v>
      </c>
      <c r="K32" s="196">
        <f t="shared" si="1"/>
        <v>1271501</v>
      </c>
      <c r="L32" s="196">
        <f t="shared" si="1"/>
        <v>1271501</v>
      </c>
      <c r="M32" s="196">
        <f t="shared" si="1"/>
        <v>1271501</v>
      </c>
      <c r="N32" s="196">
        <f t="shared" si="1"/>
        <v>1271501</v>
      </c>
      <c r="O32" s="196">
        <f t="shared" si="1"/>
        <v>1271501</v>
      </c>
      <c r="P32" s="196">
        <f t="shared" si="1"/>
        <v>1271501</v>
      </c>
    </row>
    <row r="33" spans="1:16" ht="5.0999999999999996" customHeight="1">
      <c r="C33" s="19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</row>
    <row r="34" spans="1:16" hidden="1">
      <c r="B34" s="191" t="s">
        <v>685</v>
      </c>
      <c r="C34" s="192"/>
      <c r="D34" s="182"/>
      <c r="E34" s="182"/>
      <c r="F34" s="182"/>
      <c r="G34" s="182"/>
      <c r="H34" s="182"/>
      <c r="I34" s="182"/>
      <c r="J34" s="182"/>
      <c r="K34" s="182"/>
      <c r="L34" s="182"/>
      <c r="M34" s="182"/>
      <c r="N34" s="182"/>
      <c r="O34" s="182"/>
      <c r="P34" s="182"/>
    </row>
    <row r="35" spans="1:16" ht="5.0999999999999996" hidden="1" customHeight="1">
      <c r="C35" s="192"/>
      <c r="D35" s="182"/>
      <c r="E35" s="182"/>
      <c r="F35" s="182"/>
      <c r="G35" s="182"/>
      <c r="H35" s="182"/>
      <c r="I35" s="182"/>
      <c r="J35" s="182"/>
      <c r="K35" s="182"/>
      <c r="L35" s="182"/>
      <c r="M35" s="182"/>
      <c r="N35" s="182"/>
      <c r="O35" s="182"/>
      <c r="P35" s="182"/>
    </row>
    <row r="36" spans="1:16" hidden="1">
      <c r="B36" s="193" t="s">
        <v>340</v>
      </c>
      <c r="C36" s="192" t="s">
        <v>118</v>
      </c>
      <c r="D36" s="182">
        <f>+SUMIF([1]tb!$B$1:$B$65536,$C36,[1]tb!$F$1:$F$65536)</f>
        <v>0</v>
      </c>
      <c r="E36" s="182">
        <f>+SUMIF([1]tb!$B$1:$B$65536,$C36,[1]tb!$H$1:$H$65536)</f>
        <v>0</v>
      </c>
      <c r="F36" s="182">
        <f>+SUMIF([1]tb!$B$1:$B$65536,$C36,[1]tb!$J$1:$J$65536)</f>
        <v>0</v>
      </c>
      <c r="G36" s="182">
        <f>+SUMIF([1]tb!$B$1:$B$65536,$C36,[1]tb!$L$1:$L$65536)</f>
        <v>0</v>
      </c>
      <c r="H36" s="182">
        <f>+SUMIF([1]tb!$B$1:$B$65536,$C36,[1]tb!$N$1:$N$65536)</f>
        <v>0</v>
      </c>
      <c r="I36" s="182">
        <f>+SUMIF([1]tb!$B$1:$B$65536,$C36,[1]tb!$P$1:$P$65536)</f>
        <v>0</v>
      </c>
      <c r="J36" s="182">
        <f>+SUMIF([1]tb!$B$1:$B$65536,$C36,[1]tb!$R$1:$R$65536)</f>
        <v>0</v>
      </c>
      <c r="K36" s="182">
        <f>+SUMIF([1]tb!$B$1:$B$65536,$C36,[1]tb!$T$1:$T$65536)</f>
        <v>0</v>
      </c>
      <c r="L36" s="182">
        <f>+SUMIF([1]tb!$B$1:$B$65536,$C36,[1]tb!$V$1:$V$65536)</f>
        <v>0</v>
      </c>
      <c r="M36" s="182">
        <f>+SUMIF([1]tb!$B$1:$B$65536,$C36,[1]tb!$X$1:$X$65536)</f>
        <v>0</v>
      </c>
      <c r="N36" s="182">
        <f>+SUMIF([1]tb!$B$1:$B$65536,$C36,[1]tb!$Z$1:$Z$65536)</f>
        <v>0</v>
      </c>
      <c r="O36" s="182">
        <f>+SUMIF([1]tb!$B$1:$B$65536,$C36,[1]tb!$AB$1:$AB$65536)</f>
        <v>0</v>
      </c>
      <c r="P36" s="182">
        <f>+O36</f>
        <v>0</v>
      </c>
    </row>
    <row r="37" spans="1:16" hidden="1">
      <c r="B37" s="193" t="s">
        <v>342</v>
      </c>
      <c r="C37" s="192" t="s">
        <v>120</v>
      </c>
      <c r="D37" s="182">
        <f>+SUMIF([1]tb!$B$1:$B$65536,$C37,[1]tb!$F$1:$F$65536)</f>
        <v>0</v>
      </c>
      <c r="E37" s="182">
        <f>+SUMIF([1]tb!$B$1:$B$65536,$C37,[1]tb!$H$1:$H$65536)</f>
        <v>0</v>
      </c>
      <c r="F37" s="182">
        <f>+SUMIF([1]tb!$B$1:$B$65536,$C37,[1]tb!$J$1:$J$65536)</f>
        <v>0</v>
      </c>
      <c r="G37" s="182">
        <f>+SUMIF([1]tb!$B$1:$B$65536,$C37,[1]tb!$L$1:$L$65536)</f>
        <v>0</v>
      </c>
      <c r="H37" s="182">
        <f>+SUMIF([1]tb!$B$1:$B$65536,$C37,[1]tb!$N$1:$N$65536)</f>
        <v>0</v>
      </c>
      <c r="I37" s="182">
        <f>+SUMIF([1]tb!$B$1:$B$65536,$C37,[1]tb!$P$1:$P$65536)</f>
        <v>0</v>
      </c>
      <c r="J37" s="182">
        <f>+SUMIF([1]tb!$B$1:$B$65536,$C37,[1]tb!$R$1:$R$65536)</f>
        <v>0</v>
      </c>
      <c r="K37" s="182">
        <f>+SUMIF([1]tb!$B$1:$B$65536,$C37,[1]tb!$T$1:$T$65536)</f>
        <v>0</v>
      </c>
      <c r="L37" s="182">
        <f>+SUMIF([1]tb!$B$1:$B$65536,$C37,[1]tb!$V$1:$V$65536)</f>
        <v>0</v>
      </c>
      <c r="M37" s="182">
        <f>+SUMIF([1]tb!$B$1:$B$65536,$C37,[1]tb!$X$1:$X$65536)</f>
        <v>0</v>
      </c>
      <c r="N37" s="182">
        <f>+SUMIF([1]tb!$B$1:$B$65536,$C37,[1]tb!$Z$1:$Z$65536)</f>
        <v>0</v>
      </c>
      <c r="O37" s="182">
        <f>+SUMIF([1]tb!$B$1:$B$65536,$C37,[1]tb!$AB$1:$AB$65536)</f>
        <v>0</v>
      </c>
      <c r="P37" s="182">
        <f>+O37</f>
        <v>0</v>
      </c>
    </row>
    <row r="38" spans="1:16" hidden="1">
      <c r="B38" s="193" t="s">
        <v>343</v>
      </c>
      <c r="C38" s="192" t="s">
        <v>121</v>
      </c>
      <c r="D38" s="182">
        <f>+SUMIF([1]tb!$B$1:$B$65536,$C38,[1]tb!$F$1:$F$65536)</f>
        <v>0</v>
      </c>
      <c r="E38" s="182">
        <f>+SUMIF([1]tb!$B$1:$B$65536,$C38,[1]tb!$H$1:$H$65536)</f>
        <v>0</v>
      </c>
      <c r="F38" s="182">
        <f>+SUMIF([1]tb!$B$1:$B$65536,$C38,[1]tb!$J$1:$J$65536)</f>
        <v>0</v>
      </c>
      <c r="G38" s="182">
        <f>+SUMIF([1]tb!$B$1:$B$65536,$C38,[1]tb!$L$1:$L$65536)</f>
        <v>0</v>
      </c>
      <c r="H38" s="182">
        <f>+SUMIF([1]tb!$B$1:$B$65536,$C38,[1]tb!$N$1:$N$65536)</f>
        <v>0</v>
      </c>
      <c r="I38" s="182">
        <f>+SUMIF([1]tb!$B$1:$B$65536,$C38,[1]tb!$P$1:$P$65536)</f>
        <v>0</v>
      </c>
      <c r="J38" s="182">
        <f>+SUMIF([1]tb!$B$1:$B$65536,$C38,[1]tb!$R$1:$R$65536)</f>
        <v>0</v>
      </c>
      <c r="K38" s="182">
        <f>+SUMIF([1]tb!$B$1:$B$65536,$C38,[1]tb!$T$1:$T$65536)</f>
        <v>0</v>
      </c>
      <c r="L38" s="182">
        <f>+SUMIF([1]tb!$B$1:$B$65536,$C38,[1]tb!$V$1:$V$65536)</f>
        <v>0</v>
      </c>
      <c r="M38" s="182">
        <f>+SUMIF([1]tb!$B$1:$B$65536,$C38,[1]tb!$X$1:$X$65536)</f>
        <v>0</v>
      </c>
      <c r="N38" s="182">
        <f>+SUMIF([1]tb!$B$1:$B$65536,$C38,[1]tb!$Z$1:$Z$65536)</f>
        <v>0</v>
      </c>
      <c r="O38" s="182">
        <f>+SUMIF([1]tb!$B$1:$B$65536,$C38,[1]tb!$AB$1:$AB$65536)</f>
        <v>0</v>
      </c>
      <c r="P38" s="182">
        <f>+O38</f>
        <v>0</v>
      </c>
    </row>
    <row r="39" spans="1:16" hidden="1">
      <c r="B39" s="193" t="s">
        <v>344</v>
      </c>
      <c r="C39" s="192" t="s">
        <v>122</v>
      </c>
      <c r="D39" s="182">
        <f>+SUMIF([1]tb!$B$1:$B$65536,$C39,[1]tb!$F$1:$F$65536)</f>
        <v>0</v>
      </c>
      <c r="E39" s="182">
        <f>+SUMIF([1]tb!$B$1:$B$65536,$C39,[1]tb!$H$1:$H$65536)</f>
        <v>0</v>
      </c>
      <c r="F39" s="182">
        <f>+SUMIF([1]tb!$B$1:$B$65536,$C39,[1]tb!$J$1:$J$65536)</f>
        <v>0</v>
      </c>
      <c r="G39" s="182">
        <f>+SUMIF([1]tb!$B$1:$B$65536,$C39,[1]tb!$L$1:$L$65536)</f>
        <v>0</v>
      </c>
      <c r="H39" s="182">
        <f>+SUMIF([1]tb!$B$1:$B$65536,$C39,[1]tb!$N$1:$N$65536)</f>
        <v>0</v>
      </c>
      <c r="I39" s="182">
        <f>+SUMIF([1]tb!$B$1:$B$65536,$C39,[1]tb!$P$1:$P$65536)</f>
        <v>0</v>
      </c>
      <c r="J39" s="182">
        <f>+SUMIF([1]tb!$B$1:$B$65536,$C39,[1]tb!$R$1:$R$65536)</f>
        <v>0</v>
      </c>
      <c r="K39" s="182">
        <f>+SUMIF([1]tb!$B$1:$B$65536,$C39,[1]tb!$T$1:$T$65536)</f>
        <v>0</v>
      </c>
      <c r="L39" s="182">
        <f>+SUMIF([1]tb!$B$1:$B$65536,$C39,[1]tb!$V$1:$V$65536)</f>
        <v>0</v>
      </c>
      <c r="M39" s="182">
        <f>+SUMIF([1]tb!$B$1:$B$65536,$C39,[1]tb!$X$1:$X$65536)</f>
        <v>0</v>
      </c>
      <c r="N39" s="182">
        <f>+SUMIF([1]tb!$B$1:$B$65536,$C39,[1]tb!$Z$1:$Z$65536)</f>
        <v>0</v>
      </c>
      <c r="O39" s="182">
        <f>+SUMIF([1]tb!$B$1:$B$65536,$C39,[1]tb!$AB$1:$AB$65536)</f>
        <v>0</v>
      </c>
      <c r="P39" s="182">
        <f>+O39</f>
        <v>0</v>
      </c>
    </row>
    <row r="40" spans="1:16" hidden="1">
      <c r="B40" s="193" t="s">
        <v>345</v>
      </c>
      <c r="C40" s="192" t="s">
        <v>123</v>
      </c>
      <c r="D40" s="182">
        <f>+SUMIF([1]tb!$B$1:$B$65536,$C40,[1]tb!$F$1:$F$65536)</f>
        <v>0</v>
      </c>
      <c r="E40" s="182">
        <f>+SUMIF([1]tb!$B$1:$B$65536,$C40,[1]tb!$H$1:$H$65536)</f>
        <v>0</v>
      </c>
      <c r="F40" s="182">
        <f>+SUMIF([1]tb!$B$1:$B$65536,$C40,[1]tb!$J$1:$J$65536)</f>
        <v>0</v>
      </c>
      <c r="G40" s="182">
        <f>+SUMIF([1]tb!$B$1:$B$65536,$C40,[1]tb!$L$1:$L$65536)</f>
        <v>0</v>
      </c>
      <c r="H40" s="182">
        <f>+SUMIF([1]tb!$B$1:$B$65536,$C40,[1]tb!$N$1:$N$65536)</f>
        <v>0</v>
      </c>
      <c r="I40" s="182">
        <f>+SUMIF([1]tb!$B$1:$B$65536,$C40,[1]tb!$P$1:$P$65536)</f>
        <v>0</v>
      </c>
      <c r="J40" s="182">
        <f>+SUMIF([1]tb!$B$1:$B$65536,$C40,[1]tb!$R$1:$R$65536)</f>
        <v>0</v>
      </c>
      <c r="K40" s="182">
        <f>+SUMIF([1]tb!$B$1:$B$65536,$C40,[1]tb!$T$1:$T$65536)</f>
        <v>0</v>
      </c>
      <c r="L40" s="182">
        <f>+SUMIF([1]tb!$B$1:$B$65536,$C40,[1]tb!$V$1:$V$65536)</f>
        <v>0</v>
      </c>
      <c r="M40" s="182">
        <f>+SUMIF([1]tb!$B$1:$B$65536,$C40,[1]tb!$X$1:$X$65536)</f>
        <v>0</v>
      </c>
      <c r="N40" s="182">
        <f>+SUMIF([1]tb!$B$1:$B$65536,$C40,[1]tb!$Z$1:$Z$65536)</f>
        <v>0</v>
      </c>
      <c r="O40" s="182">
        <f>+SUMIF([1]tb!$B$1:$B$65536,$C40,[1]tb!$AB$1:$AB$65536)</f>
        <v>0</v>
      </c>
      <c r="P40" s="182">
        <f>+O40</f>
        <v>0</v>
      </c>
    </row>
    <row r="41" spans="1:16" ht="5.0999999999999996" hidden="1" customHeight="1">
      <c r="C41" s="19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</row>
    <row r="42" spans="1:16" hidden="1">
      <c r="B42" s="195" t="s">
        <v>686</v>
      </c>
      <c r="C42" s="192"/>
      <c r="D42" s="197">
        <f>+SUM(D35:D41)</f>
        <v>0</v>
      </c>
      <c r="E42" s="197">
        <f t="shared" ref="E42:P42" si="2">+SUM(E35:E41)</f>
        <v>0</v>
      </c>
      <c r="F42" s="197">
        <f t="shared" si="2"/>
        <v>0</v>
      </c>
      <c r="G42" s="197">
        <f t="shared" si="2"/>
        <v>0</v>
      </c>
      <c r="H42" s="197">
        <f t="shared" si="2"/>
        <v>0</v>
      </c>
      <c r="I42" s="197">
        <f t="shared" si="2"/>
        <v>0</v>
      </c>
      <c r="J42" s="197">
        <f t="shared" si="2"/>
        <v>0</v>
      </c>
      <c r="K42" s="197">
        <f t="shared" si="2"/>
        <v>0</v>
      </c>
      <c r="L42" s="197">
        <f t="shared" si="2"/>
        <v>0</v>
      </c>
      <c r="M42" s="197">
        <f t="shared" si="2"/>
        <v>0</v>
      </c>
      <c r="N42" s="197">
        <f t="shared" si="2"/>
        <v>0</v>
      </c>
      <c r="O42" s="197">
        <f t="shared" si="2"/>
        <v>0</v>
      </c>
      <c r="P42" s="197">
        <f t="shared" si="2"/>
        <v>0</v>
      </c>
    </row>
    <row r="43" spans="1:16" ht="5.0999999999999996" customHeight="1">
      <c r="C43" s="19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</row>
    <row r="44" spans="1:16">
      <c r="B44" s="198" t="s">
        <v>687</v>
      </c>
      <c r="C44" s="192"/>
      <c r="D44" s="196">
        <f>+D42+D32</f>
        <v>403315</v>
      </c>
      <c r="E44" s="196">
        <f t="shared" ref="E44:P44" si="3">+E42+E32</f>
        <v>832741</v>
      </c>
      <c r="F44" s="196">
        <f t="shared" si="3"/>
        <v>1271501</v>
      </c>
      <c r="G44" s="196">
        <f t="shared" si="3"/>
        <v>1271501</v>
      </c>
      <c r="H44" s="196">
        <f t="shared" si="3"/>
        <v>1271501</v>
      </c>
      <c r="I44" s="196">
        <f t="shared" si="3"/>
        <v>1271501</v>
      </c>
      <c r="J44" s="196">
        <f t="shared" si="3"/>
        <v>1271501</v>
      </c>
      <c r="K44" s="196">
        <f t="shared" si="3"/>
        <v>1271501</v>
      </c>
      <c r="L44" s="196">
        <f t="shared" si="3"/>
        <v>1271501</v>
      </c>
      <c r="M44" s="196">
        <f t="shared" si="3"/>
        <v>1271501</v>
      </c>
      <c r="N44" s="196">
        <f t="shared" si="3"/>
        <v>1271501</v>
      </c>
      <c r="O44" s="196">
        <f t="shared" si="3"/>
        <v>1271501</v>
      </c>
      <c r="P44" s="196">
        <f t="shared" si="3"/>
        <v>1271501</v>
      </c>
    </row>
    <row r="45" spans="1:16" ht="5.0999999999999996" customHeight="1">
      <c r="C45" s="19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</row>
    <row r="46" spans="1:16">
      <c r="A46" s="191" t="s">
        <v>688</v>
      </c>
      <c r="C46" s="19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</row>
    <row r="47" spans="1:16" ht="5.0999999999999996" customHeight="1">
      <c r="C47" s="19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</row>
    <row r="48" spans="1:16">
      <c r="B48" s="191" t="s">
        <v>689</v>
      </c>
      <c r="C48" s="19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</row>
    <row r="49" spans="2:16" ht="5.0999999999999996" customHeight="1">
      <c r="C49" s="19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</row>
    <row r="50" spans="2:16">
      <c r="B50" s="193" t="s">
        <v>353</v>
      </c>
      <c r="C50" s="192" t="s">
        <v>131</v>
      </c>
      <c r="D50" s="182">
        <f>+SUMIF([1]tb!$B$1:$B$65536,$C50,[1]tb!$E$1:$E$65536)</f>
        <v>1023192</v>
      </c>
      <c r="E50" s="182">
        <f>+SUMIF([1]tb!$B$1:$B$65536,$C50,[1]tb!$G$1:$G$65536)</f>
        <v>2063253.9999999998</v>
      </c>
      <c r="F50" s="182">
        <f>+SUMIF([1]tb!$B$1:$B$65536,$C50,[1]tb!$I$1:$I$65536)</f>
        <v>3354272</v>
      </c>
      <c r="G50" s="182">
        <f>+SUMIF([1]tb!$B$1:$B$65536,$C50,[1]tb!$K$1:$K$65536)</f>
        <v>3354272</v>
      </c>
      <c r="H50" s="182">
        <f>+SUMIF([1]tb!$B$1:$B$65536,$C50,[1]tb!$M$1:$M$65536)</f>
        <v>3354272</v>
      </c>
      <c r="I50" s="182">
        <f>+SUMIF([1]tb!$B$1:$B$65536,$C50,[1]tb!$O$1:$O$65536)</f>
        <v>3354272</v>
      </c>
      <c r="J50" s="182">
        <f>+SUMIF([1]tb!$B$1:$B$65536,$C50,[1]tb!$Q$1:$Q$65536)</f>
        <v>3354272</v>
      </c>
      <c r="K50" s="182">
        <f>+SUMIF([1]tb!$B$1:$B$65536,$C50,[1]tb!$S$1:$S$65536)</f>
        <v>3354272</v>
      </c>
      <c r="L50" s="182">
        <f>+SUMIF([1]tb!$B$1:$B$65536,$C50,[1]tb!$U$1:$U$65536)</f>
        <v>3354272</v>
      </c>
      <c r="M50" s="182">
        <f>+SUMIF([1]tb!$B$1:$B$65536,$C50,[1]tb!$W$1:$W$65536)</f>
        <v>3354272</v>
      </c>
      <c r="N50" s="182">
        <f>+SUMIF([1]tb!$B$1:$B$65536,$C50,[1]tb!$Y$1:$Y$65536)</f>
        <v>3354272</v>
      </c>
      <c r="O50" s="182">
        <f>+SUMIF([1]tb!$B$1:$B$65536,$C50,[1]tb!$AA$1:$AA$65536)</f>
        <v>3354272</v>
      </c>
      <c r="P50" s="182">
        <f t="shared" ref="P50:P72" si="4">+O50</f>
        <v>3354272</v>
      </c>
    </row>
    <row r="51" spans="2:16">
      <c r="B51" s="193" t="s">
        <v>354</v>
      </c>
      <c r="C51" s="192" t="s">
        <v>132</v>
      </c>
      <c r="D51" s="182">
        <f>+SUMIF([1]tb!$B$1:$B$65536,$C51,[1]tb!$E$1:$E$65536)</f>
        <v>72000</v>
      </c>
      <c r="E51" s="182">
        <f>+SUMIF([1]tb!$B$1:$B$65536,$C51,[1]tb!$G$1:$G$65536)</f>
        <v>144000</v>
      </c>
      <c r="F51" s="182">
        <f>+SUMIF([1]tb!$B$1:$B$65536,$C51,[1]tb!$I$1:$I$65536)</f>
        <v>218000</v>
      </c>
      <c r="G51" s="182">
        <f>+SUMIF([1]tb!$B$1:$B$65536,$C51,[1]tb!$K$1:$K$65536)</f>
        <v>218000</v>
      </c>
      <c r="H51" s="182">
        <f>+SUMIF([1]tb!$B$1:$B$65536,$C51,[1]tb!$M$1:$M$65536)</f>
        <v>218000</v>
      </c>
      <c r="I51" s="182">
        <f>+SUMIF([1]tb!$B$1:$B$65536,$C51,[1]tb!$O$1:$O$65536)</f>
        <v>218000</v>
      </c>
      <c r="J51" s="182">
        <f>+SUMIF([1]tb!$B$1:$B$65536,$C51,[1]tb!$Q$1:$Q$65536)</f>
        <v>218000</v>
      </c>
      <c r="K51" s="182">
        <f>+SUMIF([1]tb!$B$1:$B$65536,$C51,[1]tb!$S$1:$S$65536)</f>
        <v>218000</v>
      </c>
      <c r="L51" s="182">
        <f>+SUMIF([1]tb!$B$1:$B$65536,$C51,[1]tb!$U$1:$U$65536)</f>
        <v>218000</v>
      </c>
      <c r="M51" s="182">
        <f>+SUMIF([1]tb!$B$1:$B$65536,$C51,[1]tb!$W$1:$W$65536)</f>
        <v>218000</v>
      </c>
      <c r="N51" s="182">
        <f>+SUMIF([1]tb!$B$1:$B$65536,$C51,[1]tb!$Y$1:$Y$65536)</f>
        <v>218000</v>
      </c>
      <c r="O51" s="182">
        <f>+SUMIF([1]tb!$B$1:$B$65536,$C51,[1]tb!$AA$1:$AA$65536)</f>
        <v>218000</v>
      </c>
      <c r="P51" s="182">
        <f t="shared" si="4"/>
        <v>218000</v>
      </c>
    </row>
    <row r="52" spans="2:16">
      <c r="B52" s="193" t="s">
        <v>355</v>
      </c>
      <c r="C52" s="192" t="s">
        <v>133</v>
      </c>
      <c r="D52" s="182">
        <f>+SUMIF([1]tb!$B$1:$B$65536,$C52,[1]tb!$E$1:$E$65536)</f>
        <v>10000</v>
      </c>
      <c r="E52" s="182">
        <f>+SUMIF([1]tb!$B$1:$B$65536,$C52,[1]tb!$G$1:$G$65536)</f>
        <v>30000</v>
      </c>
      <c r="F52" s="182">
        <f>+SUMIF([1]tb!$B$1:$B$65536,$C52,[1]tb!$I$1:$I$65536)</f>
        <v>62000</v>
      </c>
      <c r="G52" s="182">
        <f>+SUMIF([1]tb!$B$1:$B$65536,$C52,[1]tb!$K$1:$K$65536)</f>
        <v>62000</v>
      </c>
      <c r="H52" s="182">
        <f>+SUMIF([1]tb!$B$1:$B$65536,$C52,[1]tb!$M$1:$M$65536)</f>
        <v>62000</v>
      </c>
      <c r="I52" s="182">
        <f>+SUMIF([1]tb!$B$1:$B$65536,$C52,[1]tb!$O$1:$O$65536)</f>
        <v>62000</v>
      </c>
      <c r="J52" s="182">
        <f>+SUMIF([1]tb!$B$1:$B$65536,$C52,[1]tb!$Q$1:$Q$65536)</f>
        <v>62000</v>
      </c>
      <c r="K52" s="182">
        <f>+SUMIF([1]tb!$B$1:$B$65536,$C52,[1]tb!$S$1:$S$65536)</f>
        <v>62000</v>
      </c>
      <c r="L52" s="182">
        <f>+SUMIF([1]tb!$B$1:$B$65536,$C52,[1]tb!$U$1:$U$65536)</f>
        <v>62000</v>
      </c>
      <c r="M52" s="182">
        <f>+SUMIF([1]tb!$B$1:$B$65536,$C52,[1]tb!$W$1:$W$65536)</f>
        <v>62000</v>
      </c>
      <c r="N52" s="182">
        <f>+SUMIF([1]tb!$B$1:$B$65536,$C52,[1]tb!$Y$1:$Y$65536)</f>
        <v>62000</v>
      </c>
      <c r="O52" s="182">
        <f>+SUMIF([1]tb!$B$1:$B$65536,$C52,[1]tb!$AA$1:$AA$65536)</f>
        <v>62000</v>
      </c>
      <c r="P52" s="182">
        <f t="shared" si="4"/>
        <v>62000</v>
      </c>
    </row>
    <row r="53" spans="2:16">
      <c r="B53" s="193" t="s">
        <v>356</v>
      </c>
      <c r="C53" s="192" t="s">
        <v>134</v>
      </c>
      <c r="D53" s="182">
        <f>+SUMIF([1]tb!$B$1:$B$65536,$C53,[1]tb!$E$1:$E$65536)</f>
        <v>10000</v>
      </c>
      <c r="E53" s="182">
        <f>+SUMIF([1]tb!$B$1:$B$65536,$C53,[1]tb!$G$1:$G$65536)</f>
        <v>30000</v>
      </c>
      <c r="F53" s="182">
        <f>+SUMIF([1]tb!$B$1:$B$65536,$C53,[1]tb!$I$1:$I$65536)</f>
        <v>62000</v>
      </c>
      <c r="G53" s="182">
        <f>+SUMIF([1]tb!$B$1:$B$65536,$C53,[1]tb!$K$1:$K$65536)</f>
        <v>62000</v>
      </c>
      <c r="H53" s="182">
        <f>+SUMIF([1]tb!$B$1:$B$65536,$C53,[1]tb!$M$1:$M$65536)</f>
        <v>62000</v>
      </c>
      <c r="I53" s="182">
        <f>+SUMIF([1]tb!$B$1:$B$65536,$C53,[1]tb!$O$1:$O$65536)</f>
        <v>62000</v>
      </c>
      <c r="J53" s="182">
        <f>+SUMIF([1]tb!$B$1:$B$65536,$C53,[1]tb!$Q$1:$Q$65536)</f>
        <v>62000</v>
      </c>
      <c r="K53" s="182">
        <f>+SUMIF([1]tb!$B$1:$B$65536,$C53,[1]tb!$S$1:$S$65536)</f>
        <v>62000</v>
      </c>
      <c r="L53" s="182">
        <f>+SUMIF([1]tb!$B$1:$B$65536,$C53,[1]tb!$U$1:$U$65536)</f>
        <v>62000</v>
      </c>
      <c r="M53" s="182">
        <f>+SUMIF([1]tb!$B$1:$B$65536,$C53,[1]tb!$W$1:$W$65536)</f>
        <v>62000</v>
      </c>
      <c r="N53" s="182">
        <f>+SUMIF([1]tb!$B$1:$B$65536,$C53,[1]tb!$Y$1:$Y$65536)</f>
        <v>62000</v>
      </c>
      <c r="O53" s="182">
        <f>+SUMIF([1]tb!$B$1:$B$65536,$C53,[1]tb!$AA$1:$AA$65536)</f>
        <v>62000</v>
      </c>
      <c r="P53" s="182">
        <f t="shared" si="4"/>
        <v>62000</v>
      </c>
    </row>
    <row r="54" spans="2:16">
      <c r="B54" s="193" t="s">
        <v>357</v>
      </c>
      <c r="C54" s="192" t="s">
        <v>135</v>
      </c>
      <c r="D54" s="182">
        <f>+SUMIF([1]tb!$B$1:$B$65536,$C54,[1]tb!$E$1:$E$65536)</f>
        <v>0</v>
      </c>
      <c r="E54" s="182">
        <f>+SUMIF([1]tb!$B$1:$B$65536,$C54,[1]tb!$G$1:$G$65536)</f>
        <v>187000</v>
      </c>
      <c r="F54" s="182">
        <f>+SUMIF([1]tb!$B$1:$B$65536,$C54,[1]tb!$I$1:$I$65536)</f>
        <v>187000</v>
      </c>
      <c r="G54" s="182">
        <f>+SUMIF([1]tb!$B$1:$B$65536,$C54,[1]tb!$K$1:$K$65536)</f>
        <v>187000</v>
      </c>
      <c r="H54" s="182">
        <f>+SUMIF([1]tb!$B$1:$B$65536,$C54,[1]tb!$M$1:$M$65536)</f>
        <v>187000</v>
      </c>
      <c r="I54" s="182">
        <f>+SUMIF([1]tb!$B$1:$B$65536,$C54,[1]tb!$O$1:$O$65536)</f>
        <v>187000</v>
      </c>
      <c r="J54" s="182">
        <f>+SUMIF([1]tb!$B$1:$B$65536,$C54,[1]tb!$Q$1:$Q$65536)</f>
        <v>187000</v>
      </c>
      <c r="K54" s="182">
        <f>+SUMIF([1]tb!$B$1:$B$65536,$C54,[1]tb!$S$1:$S$65536)</f>
        <v>187000</v>
      </c>
      <c r="L54" s="182">
        <f>+SUMIF([1]tb!$B$1:$B$65536,$C54,[1]tb!$U$1:$U$65536)</f>
        <v>187000</v>
      </c>
      <c r="M54" s="182">
        <f>+SUMIF([1]tb!$B$1:$B$65536,$C54,[1]tb!$W$1:$W$65536)</f>
        <v>187000</v>
      </c>
      <c r="N54" s="182">
        <f>+SUMIF([1]tb!$B$1:$B$65536,$C54,[1]tb!$Y$1:$Y$65536)</f>
        <v>187000</v>
      </c>
      <c r="O54" s="182">
        <f>+SUMIF([1]tb!$B$1:$B$65536,$C54,[1]tb!$AA$1:$AA$65536)</f>
        <v>187000</v>
      </c>
      <c r="P54" s="182">
        <f t="shared" si="4"/>
        <v>187000</v>
      </c>
    </row>
    <row r="55" spans="2:16" hidden="1">
      <c r="B55" s="193" t="s">
        <v>358</v>
      </c>
      <c r="C55" s="192" t="s">
        <v>136</v>
      </c>
      <c r="D55" s="182">
        <f>+SUMIF([1]tb!$B$1:$B$65536,$C55,[1]tb!$E$1:$E$65536)</f>
        <v>0</v>
      </c>
      <c r="E55" s="182">
        <f>+SUMIF([1]tb!$B$1:$B$65536,$C55,[1]tb!$G$1:$G$65536)</f>
        <v>0</v>
      </c>
      <c r="F55" s="182">
        <f>+SUMIF([1]tb!$B$1:$B$65536,$C55,[1]tb!$I$1:$I$65536)</f>
        <v>0</v>
      </c>
      <c r="G55" s="182">
        <f>+SUMIF([1]tb!$B$1:$B$65536,$C55,[1]tb!$K$1:$K$65536)</f>
        <v>0</v>
      </c>
      <c r="H55" s="182">
        <f>+SUMIF([1]tb!$B$1:$B$65536,$C55,[1]tb!$M$1:$M$65536)</f>
        <v>0</v>
      </c>
      <c r="I55" s="182">
        <f>+SUMIF([1]tb!$B$1:$B$65536,$C55,[1]tb!$O$1:$O$65536)</f>
        <v>0</v>
      </c>
      <c r="J55" s="182">
        <f>+SUMIF([1]tb!$B$1:$B$65536,$C55,[1]tb!$Q$1:$Q$65536)</f>
        <v>0</v>
      </c>
      <c r="K55" s="182">
        <f>+SUMIF([1]tb!$B$1:$B$65536,$C55,[1]tb!$S$1:$S$65536)</f>
        <v>0</v>
      </c>
      <c r="L55" s="182">
        <f>+SUMIF([1]tb!$B$1:$B$65536,$C55,[1]tb!$U$1:$U$65536)</f>
        <v>0</v>
      </c>
      <c r="M55" s="182">
        <f>+SUMIF([1]tb!$B$1:$B$65536,$C55,[1]tb!$W$1:$W$65536)</f>
        <v>0</v>
      </c>
      <c r="N55" s="182">
        <f>+SUMIF([1]tb!$B$1:$B$65536,$C55,[1]tb!$Y$1:$Y$65536)</f>
        <v>0</v>
      </c>
      <c r="O55" s="182">
        <f>+SUMIF([1]tb!$B$1:$B$65536,$C55,[1]tb!$AA$1:$AA$65536)</f>
        <v>0</v>
      </c>
      <c r="P55" s="182">
        <f t="shared" si="4"/>
        <v>0</v>
      </c>
    </row>
    <row r="56" spans="2:16" hidden="1">
      <c r="B56" s="193" t="s">
        <v>359</v>
      </c>
      <c r="C56" s="192" t="s">
        <v>137</v>
      </c>
      <c r="D56" s="182">
        <f>+SUMIF([1]tb!$B$1:$B$65536,$C56,[1]tb!$E$1:$E$65536)</f>
        <v>0</v>
      </c>
      <c r="E56" s="182">
        <f>+SUMIF([1]tb!$B$1:$B$65536,$C56,[1]tb!$G$1:$G$65536)</f>
        <v>0</v>
      </c>
      <c r="F56" s="182">
        <f>+SUMIF([1]tb!$B$1:$B$65536,$C56,[1]tb!$I$1:$I$65536)</f>
        <v>0</v>
      </c>
      <c r="G56" s="182">
        <f>+SUMIF([1]tb!$B$1:$B$65536,$C56,[1]tb!$K$1:$K$65536)</f>
        <v>0</v>
      </c>
      <c r="H56" s="182">
        <f>+SUMIF([1]tb!$B$1:$B$65536,$C56,[1]tb!$M$1:$M$65536)</f>
        <v>0</v>
      </c>
      <c r="I56" s="182">
        <f>+SUMIF([1]tb!$B$1:$B$65536,$C56,[1]tb!$O$1:$O$65536)</f>
        <v>0</v>
      </c>
      <c r="J56" s="182">
        <f>+SUMIF([1]tb!$B$1:$B$65536,$C56,[1]tb!$Q$1:$Q$65536)</f>
        <v>0</v>
      </c>
      <c r="K56" s="182">
        <f>+SUMIF([1]tb!$B$1:$B$65536,$C56,[1]tb!$S$1:$S$65536)</f>
        <v>0</v>
      </c>
      <c r="L56" s="182">
        <f>+SUMIF([1]tb!$B$1:$B$65536,$C56,[1]tb!$U$1:$U$65536)</f>
        <v>0</v>
      </c>
      <c r="M56" s="182">
        <f>+SUMIF([1]tb!$B$1:$B$65536,$C56,[1]tb!$W$1:$W$65536)</f>
        <v>0</v>
      </c>
      <c r="N56" s="182">
        <f>+SUMIF([1]tb!$B$1:$B$65536,$C56,[1]tb!$Y$1:$Y$65536)</f>
        <v>0</v>
      </c>
      <c r="O56" s="182">
        <f>+SUMIF([1]tb!$B$1:$B$65536,$C56,[1]tb!$AA$1:$AA$65536)</f>
        <v>0</v>
      </c>
      <c r="P56" s="182">
        <f t="shared" si="4"/>
        <v>0</v>
      </c>
    </row>
    <row r="57" spans="2:16" hidden="1">
      <c r="B57" s="193" t="s">
        <v>360</v>
      </c>
      <c r="C57" s="192" t="s">
        <v>138</v>
      </c>
      <c r="D57" s="182">
        <f>+SUMIF([1]tb!$B$1:$B$65536,$C57,[1]tb!$E$1:$E$65536)</f>
        <v>0</v>
      </c>
      <c r="E57" s="182">
        <f>+SUMIF([1]tb!$B$1:$B$65536,$C57,[1]tb!$G$1:$G$65536)</f>
        <v>0</v>
      </c>
      <c r="F57" s="182">
        <f>+SUMIF([1]tb!$B$1:$B$65536,$C57,[1]tb!$I$1:$I$65536)</f>
        <v>0</v>
      </c>
      <c r="G57" s="182">
        <f>+SUMIF([1]tb!$B$1:$B$65536,$C57,[1]tb!$K$1:$K$65536)</f>
        <v>0</v>
      </c>
      <c r="H57" s="182">
        <f>+SUMIF([1]tb!$B$1:$B$65536,$C57,[1]tb!$M$1:$M$65536)</f>
        <v>0</v>
      </c>
      <c r="I57" s="182">
        <f>+SUMIF([1]tb!$B$1:$B$65536,$C57,[1]tb!$O$1:$O$65536)</f>
        <v>0</v>
      </c>
      <c r="J57" s="182">
        <f>+SUMIF([1]tb!$B$1:$B$65536,$C57,[1]tb!$Q$1:$Q$65536)</f>
        <v>0</v>
      </c>
      <c r="K57" s="182">
        <f>+SUMIF([1]tb!$B$1:$B$65536,$C57,[1]tb!$S$1:$S$65536)</f>
        <v>0</v>
      </c>
      <c r="L57" s="182">
        <f>+SUMIF([1]tb!$B$1:$B$65536,$C57,[1]tb!$U$1:$U$65536)</f>
        <v>0</v>
      </c>
      <c r="M57" s="182">
        <f>+SUMIF([1]tb!$B$1:$B$65536,$C57,[1]tb!$W$1:$W$65536)</f>
        <v>0</v>
      </c>
      <c r="N57" s="182">
        <f>+SUMIF([1]tb!$B$1:$B$65536,$C57,[1]tb!$Y$1:$Y$65536)</f>
        <v>0</v>
      </c>
      <c r="O57" s="182">
        <f>+SUMIF([1]tb!$B$1:$B$65536,$C57,[1]tb!$AA$1:$AA$65536)</f>
        <v>0</v>
      </c>
      <c r="P57" s="182">
        <f t="shared" si="4"/>
        <v>0</v>
      </c>
    </row>
    <row r="58" spans="2:16" hidden="1">
      <c r="B58" s="193" t="s">
        <v>361</v>
      </c>
      <c r="C58" s="192" t="s">
        <v>139</v>
      </c>
      <c r="D58" s="182">
        <f>+SUMIF([1]tb!$B$1:$B$65536,$C58,[1]tb!$E$1:$E$65536)</f>
        <v>0</v>
      </c>
      <c r="E58" s="182">
        <f>+SUMIF([1]tb!$B$1:$B$65536,$C58,[1]tb!$G$1:$G$65536)</f>
        <v>0</v>
      </c>
      <c r="F58" s="182">
        <f>+SUMIF([1]tb!$B$1:$B$65536,$C58,[1]tb!$I$1:$I$65536)</f>
        <v>0</v>
      </c>
      <c r="G58" s="182">
        <f>+SUMIF([1]tb!$B$1:$B$65536,$C58,[1]tb!$K$1:$K$65536)</f>
        <v>0</v>
      </c>
      <c r="H58" s="182">
        <f>+SUMIF([1]tb!$B$1:$B$65536,$C58,[1]tb!$M$1:$M$65536)</f>
        <v>0</v>
      </c>
      <c r="I58" s="182">
        <f>+SUMIF([1]tb!$B$1:$B$65536,$C58,[1]tb!$O$1:$O$65536)</f>
        <v>0</v>
      </c>
      <c r="J58" s="182">
        <f>+SUMIF([1]tb!$B$1:$B$65536,$C58,[1]tb!$Q$1:$Q$65536)</f>
        <v>0</v>
      </c>
      <c r="K58" s="182">
        <f>+SUMIF([1]tb!$B$1:$B$65536,$C58,[1]tb!$S$1:$S$65536)</f>
        <v>0</v>
      </c>
      <c r="L58" s="182">
        <f>+SUMIF([1]tb!$B$1:$B$65536,$C58,[1]tb!$U$1:$U$65536)</f>
        <v>0</v>
      </c>
      <c r="M58" s="182">
        <f>+SUMIF([1]tb!$B$1:$B$65536,$C58,[1]tb!$W$1:$W$65536)</f>
        <v>0</v>
      </c>
      <c r="N58" s="182">
        <f>+SUMIF([1]tb!$B$1:$B$65536,$C58,[1]tb!$Y$1:$Y$65536)</f>
        <v>0</v>
      </c>
      <c r="O58" s="182">
        <f>+SUMIF([1]tb!$B$1:$B$65536,$C58,[1]tb!$AA$1:$AA$65536)</f>
        <v>0</v>
      </c>
      <c r="P58" s="182">
        <f t="shared" si="4"/>
        <v>0</v>
      </c>
    </row>
    <row r="59" spans="2:16" hidden="1">
      <c r="B59" s="193" t="s">
        <v>362</v>
      </c>
      <c r="C59" s="192" t="s">
        <v>140</v>
      </c>
      <c r="D59" s="182">
        <f>+SUMIF([1]tb!$B$1:$B$65536,$C59,[1]tb!$E$1:$E$65536)</f>
        <v>0</v>
      </c>
      <c r="E59" s="182">
        <f>+SUMIF([1]tb!$B$1:$B$65536,$C59,[1]tb!$G$1:$G$65536)</f>
        <v>0</v>
      </c>
      <c r="F59" s="182">
        <f>+SUMIF([1]tb!$B$1:$B$65536,$C59,[1]tb!$I$1:$I$65536)</f>
        <v>0</v>
      </c>
      <c r="G59" s="182">
        <f>+SUMIF([1]tb!$B$1:$B$65536,$C59,[1]tb!$K$1:$K$65536)</f>
        <v>0</v>
      </c>
      <c r="H59" s="182">
        <f>+SUMIF([1]tb!$B$1:$B$65536,$C59,[1]tb!$M$1:$M$65536)</f>
        <v>0</v>
      </c>
      <c r="I59" s="182">
        <f>+SUMIF([1]tb!$B$1:$B$65536,$C59,[1]tb!$O$1:$O$65536)</f>
        <v>0</v>
      </c>
      <c r="J59" s="182">
        <f>+SUMIF([1]tb!$B$1:$B$65536,$C59,[1]tb!$Q$1:$Q$65536)</f>
        <v>0</v>
      </c>
      <c r="K59" s="182">
        <f>+SUMIF([1]tb!$B$1:$B$65536,$C59,[1]tb!$S$1:$S$65536)</f>
        <v>0</v>
      </c>
      <c r="L59" s="182">
        <f>+SUMIF([1]tb!$B$1:$B$65536,$C59,[1]tb!$U$1:$U$65536)</f>
        <v>0</v>
      </c>
      <c r="M59" s="182">
        <f>+SUMIF([1]tb!$B$1:$B$65536,$C59,[1]tb!$W$1:$W$65536)</f>
        <v>0</v>
      </c>
      <c r="N59" s="182">
        <f>+SUMIF([1]tb!$B$1:$B$65536,$C59,[1]tb!$Y$1:$Y$65536)</f>
        <v>0</v>
      </c>
      <c r="O59" s="182">
        <f>+SUMIF([1]tb!$B$1:$B$65536,$C59,[1]tb!$AA$1:$AA$65536)</f>
        <v>0</v>
      </c>
      <c r="P59" s="182">
        <f t="shared" si="4"/>
        <v>0</v>
      </c>
    </row>
    <row r="60" spans="2:16" hidden="1">
      <c r="B60" s="193" t="s">
        <v>363</v>
      </c>
      <c r="C60" s="192" t="s">
        <v>141</v>
      </c>
      <c r="D60" s="182">
        <f>+SUMIF([1]tb!$B$1:$B$65536,$C60,[1]tb!$E$1:$E$65536)</f>
        <v>0</v>
      </c>
      <c r="E60" s="182">
        <f>+SUMIF([1]tb!$B$1:$B$65536,$C60,[1]tb!$G$1:$G$65536)</f>
        <v>0</v>
      </c>
      <c r="F60" s="182">
        <f>+SUMIF([1]tb!$B$1:$B$65536,$C60,[1]tb!$I$1:$I$65536)</f>
        <v>0</v>
      </c>
      <c r="G60" s="182">
        <f>+SUMIF([1]tb!$B$1:$B$65536,$C60,[1]tb!$K$1:$K$65536)</f>
        <v>0</v>
      </c>
      <c r="H60" s="182">
        <f>+SUMIF([1]tb!$B$1:$B$65536,$C60,[1]tb!$M$1:$M$65536)</f>
        <v>0</v>
      </c>
      <c r="I60" s="182">
        <f>+SUMIF([1]tb!$B$1:$B$65536,$C60,[1]tb!$O$1:$O$65536)</f>
        <v>0</v>
      </c>
      <c r="J60" s="182">
        <f>+SUMIF([1]tb!$B$1:$B$65536,$C60,[1]tb!$Q$1:$Q$65536)</f>
        <v>0</v>
      </c>
      <c r="K60" s="182">
        <f>+SUMIF([1]tb!$B$1:$B$65536,$C60,[1]tb!$S$1:$S$65536)</f>
        <v>0</v>
      </c>
      <c r="L60" s="182">
        <f>+SUMIF([1]tb!$B$1:$B$65536,$C60,[1]tb!$U$1:$U$65536)</f>
        <v>0</v>
      </c>
      <c r="M60" s="182">
        <f>+SUMIF([1]tb!$B$1:$B$65536,$C60,[1]tb!$W$1:$W$65536)</f>
        <v>0</v>
      </c>
      <c r="N60" s="182">
        <f>+SUMIF([1]tb!$B$1:$B$65536,$C60,[1]tb!$Y$1:$Y$65536)</f>
        <v>0</v>
      </c>
      <c r="O60" s="182">
        <f>+SUMIF([1]tb!$B$1:$B$65536,$C60,[1]tb!$AA$1:$AA$65536)</f>
        <v>0</v>
      </c>
      <c r="P60" s="182">
        <f t="shared" si="4"/>
        <v>0</v>
      </c>
    </row>
    <row r="61" spans="2:16" hidden="1">
      <c r="B61" s="193" t="s">
        <v>364</v>
      </c>
      <c r="C61" s="192" t="s">
        <v>142</v>
      </c>
      <c r="D61" s="182">
        <f>+SUMIF([1]tb!$B$1:$B$65536,$C61,[1]tb!$E$1:$E$65536)</f>
        <v>0</v>
      </c>
      <c r="E61" s="182">
        <f>+SUMIF([1]tb!$B$1:$B$65536,$C61,[1]tb!$G$1:$G$65536)</f>
        <v>0</v>
      </c>
      <c r="F61" s="182">
        <f>+SUMIF([1]tb!$B$1:$B$65536,$C61,[1]tb!$I$1:$I$65536)</f>
        <v>0</v>
      </c>
      <c r="G61" s="182">
        <f>+SUMIF([1]tb!$B$1:$B$65536,$C61,[1]tb!$K$1:$K$65536)</f>
        <v>0</v>
      </c>
      <c r="H61" s="182">
        <f>+SUMIF([1]tb!$B$1:$B$65536,$C61,[1]tb!$M$1:$M$65536)</f>
        <v>0</v>
      </c>
      <c r="I61" s="182">
        <f>+SUMIF([1]tb!$B$1:$B$65536,$C61,[1]tb!$O$1:$O$65536)</f>
        <v>0</v>
      </c>
      <c r="J61" s="182">
        <f>+SUMIF([1]tb!$B$1:$B$65536,$C61,[1]tb!$Q$1:$Q$65536)</f>
        <v>0</v>
      </c>
      <c r="K61" s="182">
        <f>+SUMIF([1]tb!$B$1:$B$65536,$C61,[1]tb!$S$1:$S$65536)</f>
        <v>0</v>
      </c>
      <c r="L61" s="182">
        <f>+SUMIF([1]tb!$B$1:$B$65536,$C61,[1]tb!$U$1:$U$65536)</f>
        <v>0</v>
      </c>
      <c r="M61" s="182">
        <f>+SUMIF([1]tb!$B$1:$B$65536,$C61,[1]tb!$W$1:$W$65536)</f>
        <v>0</v>
      </c>
      <c r="N61" s="182">
        <f>+SUMIF([1]tb!$B$1:$B$65536,$C61,[1]tb!$Y$1:$Y$65536)</f>
        <v>0</v>
      </c>
      <c r="O61" s="182">
        <f>+SUMIF([1]tb!$B$1:$B$65536,$C61,[1]tb!$AA$1:$AA$65536)</f>
        <v>0</v>
      </c>
      <c r="P61" s="182">
        <f t="shared" si="4"/>
        <v>0</v>
      </c>
    </row>
    <row r="62" spans="2:16" hidden="1">
      <c r="B62" s="193" t="s">
        <v>365</v>
      </c>
      <c r="C62" s="192" t="s">
        <v>143</v>
      </c>
      <c r="D62" s="182">
        <f>+SUMIF([1]tb!$B$1:$B$65536,$C62,[1]tb!$E$1:$E$65536)</f>
        <v>0</v>
      </c>
      <c r="E62" s="182">
        <f>+SUMIF([1]tb!$B$1:$B$65536,$C62,[1]tb!$G$1:$G$65536)</f>
        <v>0</v>
      </c>
      <c r="F62" s="182">
        <f>+SUMIF([1]tb!$B$1:$B$65536,$C62,[1]tb!$I$1:$I$65536)</f>
        <v>0</v>
      </c>
      <c r="G62" s="182">
        <f>+SUMIF([1]tb!$B$1:$B$65536,$C62,[1]tb!$K$1:$K$65536)</f>
        <v>0</v>
      </c>
      <c r="H62" s="182">
        <f>+SUMIF([1]tb!$B$1:$B$65536,$C62,[1]tb!$M$1:$M$65536)</f>
        <v>0</v>
      </c>
      <c r="I62" s="182">
        <f>+SUMIF([1]tb!$B$1:$B$65536,$C62,[1]tb!$O$1:$O$65536)</f>
        <v>0</v>
      </c>
      <c r="J62" s="182">
        <f>+SUMIF([1]tb!$B$1:$B$65536,$C62,[1]tb!$Q$1:$Q$65536)</f>
        <v>0</v>
      </c>
      <c r="K62" s="182">
        <f>+SUMIF([1]tb!$B$1:$B$65536,$C62,[1]tb!$S$1:$S$65536)</f>
        <v>0</v>
      </c>
      <c r="L62" s="182">
        <f>+SUMIF([1]tb!$B$1:$B$65536,$C62,[1]tb!$U$1:$U$65536)</f>
        <v>0</v>
      </c>
      <c r="M62" s="182">
        <f>+SUMIF([1]tb!$B$1:$B$65536,$C62,[1]tb!$W$1:$W$65536)</f>
        <v>0</v>
      </c>
      <c r="N62" s="182">
        <f>+SUMIF([1]tb!$B$1:$B$65536,$C62,[1]tb!$Y$1:$Y$65536)</f>
        <v>0</v>
      </c>
      <c r="O62" s="182">
        <f>+SUMIF([1]tb!$B$1:$B$65536,$C62,[1]tb!$AA$1:$AA$65536)</f>
        <v>0</v>
      </c>
      <c r="P62" s="182">
        <f t="shared" si="4"/>
        <v>0</v>
      </c>
    </row>
    <row r="63" spans="2:16" hidden="1">
      <c r="B63" s="193" t="s">
        <v>366</v>
      </c>
      <c r="C63" s="192" t="s">
        <v>144</v>
      </c>
      <c r="D63" s="182">
        <f>+SUMIF([1]tb!$B$1:$B$65536,$C63,[1]tb!$E$1:$E$65536)</f>
        <v>0</v>
      </c>
      <c r="E63" s="182">
        <f>+SUMIF([1]tb!$B$1:$B$65536,$C63,[1]tb!$G$1:$G$65536)</f>
        <v>0</v>
      </c>
      <c r="F63" s="182">
        <f>+SUMIF([1]tb!$B$1:$B$65536,$C63,[1]tb!$I$1:$I$65536)</f>
        <v>0</v>
      </c>
      <c r="G63" s="182">
        <f>+SUMIF([1]tb!$B$1:$B$65536,$C63,[1]tb!$K$1:$K$65536)</f>
        <v>0</v>
      </c>
      <c r="H63" s="182">
        <f>+SUMIF([1]tb!$B$1:$B$65536,$C63,[1]tb!$M$1:$M$65536)</f>
        <v>0</v>
      </c>
      <c r="I63" s="182">
        <f>+SUMIF([1]tb!$B$1:$B$65536,$C63,[1]tb!$O$1:$O$65536)</f>
        <v>0</v>
      </c>
      <c r="J63" s="182">
        <f>+SUMIF([1]tb!$B$1:$B$65536,$C63,[1]tb!$Q$1:$Q$65536)</f>
        <v>0</v>
      </c>
      <c r="K63" s="182">
        <f>+SUMIF([1]tb!$B$1:$B$65536,$C63,[1]tb!$S$1:$S$65536)</f>
        <v>0</v>
      </c>
      <c r="L63" s="182">
        <f>+SUMIF([1]tb!$B$1:$B$65536,$C63,[1]tb!$U$1:$U$65536)</f>
        <v>0</v>
      </c>
      <c r="M63" s="182">
        <f>+SUMIF([1]tb!$B$1:$B$65536,$C63,[1]tb!$W$1:$W$65536)</f>
        <v>0</v>
      </c>
      <c r="N63" s="182">
        <f>+SUMIF([1]tb!$B$1:$B$65536,$C63,[1]tb!$Y$1:$Y$65536)</f>
        <v>0</v>
      </c>
      <c r="O63" s="182">
        <f>+SUMIF([1]tb!$B$1:$B$65536,$C63,[1]tb!$AA$1:$AA$65536)</f>
        <v>0</v>
      </c>
      <c r="P63" s="182">
        <f t="shared" si="4"/>
        <v>0</v>
      </c>
    </row>
    <row r="64" spans="2:16" hidden="1">
      <c r="B64" s="193" t="s">
        <v>367</v>
      </c>
      <c r="C64" s="192" t="s">
        <v>145</v>
      </c>
      <c r="D64" s="182">
        <f>+SUMIF([1]tb!$B$1:$B$65536,$C64,[1]tb!$E$1:$E$65536)</f>
        <v>0</v>
      </c>
      <c r="E64" s="182">
        <f>+SUMIF([1]tb!$B$1:$B$65536,$C64,[1]tb!$G$1:$G$65536)</f>
        <v>0</v>
      </c>
      <c r="F64" s="182">
        <f>+SUMIF([1]tb!$B$1:$B$65536,$C64,[1]tb!$I$1:$I$65536)</f>
        <v>0</v>
      </c>
      <c r="G64" s="182">
        <f>+SUMIF([1]tb!$B$1:$B$65536,$C64,[1]tb!$K$1:$K$65536)</f>
        <v>0</v>
      </c>
      <c r="H64" s="182">
        <f>+SUMIF([1]tb!$B$1:$B$65536,$C64,[1]tb!$M$1:$M$65536)</f>
        <v>0</v>
      </c>
      <c r="I64" s="182">
        <f>+SUMIF([1]tb!$B$1:$B$65536,$C64,[1]tb!$O$1:$O$65536)</f>
        <v>0</v>
      </c>
      <c r="J64" s="182">
        <f>+SUMIF([1]tb!$B$1:$B$65536,$C64,[1]tb!$Q$1:$Q$65536)</f>
        <v>0</v>
      </c>
      <c r="K64" s="182">
        <f>+SUMIF([1]tb!$B$1:$B$65536,$C64,[1]tb!$S$1:$S$65536)</f>
        <v>0</v>
      </c>
      <c r="L64" s="182">
        <f>+SUMIF([1]tb!$B$1:$B$65536,$C64,[1]tb!$U$1:$U$65536)</f>
        <v>0</v>
      </c>
      <c r="M64" s="182">
        <f>+SUMIF([1]tb!$B$1:$B$65536,$C64,[1]tb!$W$1:$W$65536)</f>
        <v>0</v>
      </c>
      <c r="N64" s="182">
        <f>+SUMIF([1]tb!$B$1:$B$65536,$C64,[1]tb!$Y$1:$Y$65536)</f>
        <v>0</v>
      </c>
      <c r="O64" s="182">
        <f>+SUMIF([1]tb!$B$1:$B$65536,$C64,[1]tb!$AA$1:$AA$65536)</f>
        <v>0</v>
      </c>
      <c r="P64" s="182">
        <f t="shared" si="4"/>
        <v>0</v>
      </c>
    </row>
    <row r="65" spans="2:16" hidden="1">
      <c r="B65" s="193" t="s">
        <v>368</v>
      </c>
      <c r="C65" s="192" t="s">
        <v>146</v>
      </c>
      <c r="D65" s="182">
        <f>+SUMIF([1]tb!$B$1:$B$65536,$C65,[1]tb!$E$1:$E$65536)</f>
        <v>0</v>
      </c>
      <c r="E65" s="182">
        <f>+SUMIF([1]tb!$B$1:$B$65536,$C65,[1]tb!$G$1:$G$65536)</f>
        <v>0</v>
      </c>
      <c r="F65" s="182">
        <f>+SUMIF([1]tb!$B$1:$B$65536,$C65,[1]tb!$I$1:$I$65536)</f>
        <v>0</v>
      </c>
      <c r="G65" s="182">
        <f>+SUMIF([1]tb!$B$1:$B$65536,$C65,[1]tb!$K$1:$K$65536)</f>
        <v>0</v>
      </c>
      <c r="H65" s="182">
        <f>+SUMIF([1]tb!$B$1:$B$65536,$C65,[1]tb!$M$1:$M$65536)</f>
        <v>0</v>
      </c>
      <c r="I65" s="182">
        <f>+SUMIF([1]tb!$B$1:$B$65536,$C65,[1]tb!$O$1:$O$65536)</f>
        <v>0</v>
      </c>
      <c r="J65" s="182">
        <f>+SUMIF([1]tb!$B$1:$B$65536,$C65,[1]tb!$Q$1:$Q$65536)</f>
        <v>0</v>
      </c>
      <c r="K65" s="182">
        <f>+SUMIF([1]tb!$B$1:$B$65536,$C65,[1]tb!$S$1:$S$65536)</f>
        <v>0</v>
      </c>
      <c r="L65" s="182">
        <f>+SUMIF([1]tb!$B$1:$B$65536,$C65,[1]tb!$U$1:$U$65536)</f>
        <v>0</v>
      </c>
      <c r="M65" s="182">
        <f>+SUMIF([1]tb!$B$1:$B$65536,$C65,[1]tb!$W$1:$W$65536)</f>
        <v>0</v>
      </c>
      <c r="N65" s="182">
        <f>+SUMIF([1]tb!$B$1:$B$65536,$C65,[1]tb!$Y$1:$Y$65536)</f>
        <v>0</v>
      </c>
      <c r="O65" s="182">
        <f>+SUMIF([1]tb!$B$1:$B$65536,$C65,[1]tb!$AA$1:$AA$65536)</f>
        <v>0</v>
      </c>
      <c r="P65" s="182">
        <f t="shared" si="4"/>
        <v>0</v>
      </c>
    </row>
    <row r="66" spans="2:16">
      <c r="B66" s="193" t="s">
        <v>369</v>
      </c>
      <c r="C66" s="192" t="s">
        <v>147</v>
      </c>
      <c r="D66" s="182">
        <f>+SUMIF([1]tb!$B$1:$B$65536,$C66,[1]tb!$E$1:$E$65536)</f>
        <v>122783.04000000001</v>
      </c>
      <c r="E66" s="182">
        <f>+SUMIF([1]tb!$B$1:$B$65536,$C66,[1]tb!$G$1:$G$65536)</f>
        <v>247590.48</v>
      </c>
      <c r="F66" s="182">
        <f>+SUMIF([1]tb!$B$1:$B$65536,$C66,[1]tb!$I$1:$I$65536)</f>
        <v>402512.64000000001</v>
      </c>
      <c r="G66" s="182">
        <f>+SUMIF([1]tb!$B$1:$B$65536,$C66,[1]tb!$K$1:$K$65536)</f>
        <v>402512.64000000001</v>
      </c>
      <c r="H66" s="182">
        <f>+SUMIF([1]tb!$B$1:$B$65536,$C66,[1]tb!$M$1:$M$65536)</f>
        <v>402512.64000000001</v>
      </c>
      <c r="I66" s="182">
        <f>+SUMIF([1]tb!$B$1:$B$65536,$C66,[1]tb!$O$1:$O$65536)</f>
        <v>402512.64000000001</v>
      </c>
      <c r="J66" s="182">
        <f>+SUMIF([1]tb!$B$1:$B$65536,$C66,[1]tb!$Q$1:$Q$65536)</f>
        <v>402512.64000000001</v>
      </c>
      <c r="K66" s="182">
        <f>+SUMIF([1]tb!$B$1:$B$65536,$C66,[1]tb!$S$1:$S$65536)</f>
        <v>402512.64000000001</v>
      </c>
      <c r="L66" s="182">
        <f>+SUMIF([1]tb!$B$1:$B$65536,$C66,[1]tb!$U$1:$U$65536)</f>
        <v>402512.64000000001</v>
      </c>
      <c r="M66" s="182">
        <f>+SUMIF([1]tb!$B$1:$B$65536,$C66,[1]tb!$W$1:$W$65536)</f>
        <v>402512.64000000001</v>
      </c>
      <c r="N66" s="182">
        <f>+SUMIF([1]tb!$B$1:$B$65536,$C66,[1]tb!$Y$1:$Y$65536)</f>
        <v>402512.64000000001</v>
      </c>
      <c r="O66" s="182">
        <f>+SUMIF([1]tb!$B$1:$B$65536,$C66,[1]tb!$AA$1:$AA$65536)</f>
        <v>402512.64000000001</v>
      </c>
      <c r="P66" s="182">
        <f t="shared" si="4"/>
        <v>402512.64000000001</v>
      </c>
    </row>
    <row r="67" spans="2:16">
      <c r="B67" s="193" t="s">
        <v>370</v>
      </c>
      <c r="C67" s="192" t="s">
        <v>148</v>
      </c>
      <c r="D67" s="182">
        <f>+SUMIF([1]tb!$B$1:$B$65536,$C67,[1]tb!$E$1:$E$65536)</f>
        <v>3600</v>
      </c>
      <c r="E67" s="182">
        <f>+SUMIF([1]tb!$B$1:$B$65536,$C67,[1]tb!$G$1:$G$65536)</f>
        <v>7300</v>
      </c>
      <c r="F67" s="182">
        <f>+SUMIF([1]tb!$B$1:$B$65536,$C67,[1]tb!$I$1:$I$65536)</f>
        <v>11000</v>
      </c>
      <c r="G67" s="182">
        <f>+SUMIF([1]tb!$B$1:$B$65536,$C67,[1]tb!$K$1:$K$65536)</f>
        <v>11000</v>
      </c>
      <c r="H67" s="182">
        <f>+SUMIF([1]tb!$B$1:$B$65536,$C67,[1]tb!$M$1:$M$65536)</f>
        <v>11000</v>
      </c>
      <c r="I67" s="182">
        <f>+SUMIF([1]tb!$B$1:$B$65536,$C67,[1]tb!$O$1:$O$65536)</f>
        <v>11000</v>
      </c>
      <c r="J67" s="182">
        <f>+SUMIF([1]tb!$B$1:$B$65536,$C67,[1]tb!$Q$1:$Q$65536)</f>
        <v>11000</v>
      </c>
      <c r="K67" s="182">
        <f>+SUMIF([1]tb!$B$1:$B$65536,$C67,[1]tb!$S$1:$S$65536)</f>
        <v>11000</v>
      </c>
      <c r="L67" s="182">
        <f>+SUMIF([1]tb!$B$1:$B$65536,$C67,[1]tb!$U$1:$U$65536)</f>
        <v>11000</v>
      </c>
      <c r="M67" s="182">
        <f>+SUMIF([1]tb!$B$1:$B$65536,$C67,[1]tb!$W$1:$W$65536)</f>
        <v>11000</v>
      </c>
      <c r="N67" s="182">
        <f>+SUMIF([1]tb!$B$1:$B$65536,$C67,[1]tb!$Y$1:$Y$65536)</f>
        <v>11000</v>
      </c>
      <c r="O67" s="182">
        <f>+SUMIF([1]tb!$B$1:$B$65536,$C67,[1]tb!$AA$1:$AA$65536)</f>
        <v>11000</v>
      </c>
      <c r="P67" s="182">
        <f t="shared" si="4"/>
        <v>11000</v>
      </c>
    </row>
    <row r="68" spans="2:16">
      <c r="B68" s="193" t="s">
        <v>371</v>
      </c>
      <c r="C68" s="192" t="s">
        <v>149</v>
      </c>
      <c r="D68" s="182">
        <f>+SUMIF([1]tb!$B$1:$B$65536,$C68,[1]tb!$E$1:$E$65536)</f>
        <v>11500</v>
      </c>
      <c r="E68" s="182">
        <f>+SUMIF([1]tb!$B$1:$B$65536,$C68,[1]tb!$G$1:$G$65536)</f>
        <v>23200</v>
      </c>
      <c r="F68" s="182">
        <f>+SUMIF([1]tb!$B$1:$B$65536,$C68,[1]tb!$I$1:$I$65536)</f>
        <v>36175</v>
      </c>
      <c r="G68" s="182">
        <f>+SUMIF([1]tb!$B$1:$B$65536,$C68,[1]tb!$K$1:$K$65536)</f>
        <v>36175</v>
      </c>
      <c r="H68" s="182">
        <f>+SUMIF([1]tb!$B$1:$B$65536,$C68,[1]tb!$M$1:$M$65536)</f>
        <v>36175</v>
      </c>
      <c r="I68" s="182">
        <f>+SUMIF([1]tb!$B$1:$B$65536,$C68,[1]tb!$O$1:$O$65536)</f>
        <v>36175</v>
      </c>
      <c r="J68" s="182">
        <f>+SUMIF([1]tb!$B$1:$B$65536,$C68,[1]tb!$Q$1:$Q$65536)</f>
        <v>36175</v>
      </c>
      <c r="K68" s="182">
        <f>+SUMIF([1]tb!$B$1:$B$65536,$C68,[1]tb!$S$1:$S$65536)</f>
        <v>36175</v>
      </c>
      <c r="L68" s="182">
        <f>+SUMIF([1]tb!$B$1:$B$65536,$C68,[1]tb!$U$1:$U$65536)</f>
        <v>36175</v>
      </c>
      <c r="M68" s="182">
        <f>+SUMIF([1]tb!$B$1:$B$65536,$C68,[1]tb!$W$1:$W$65536)</f>
        <v>36175</v>
      </c>
      <c r="N68" s="182">
        <f>+SUMIF([1]tb!$B$1:$B$65536,$C68,[1]tb!$Y$1:$Y$65536)</f>
        <v>36175</v>
      </c>
      <c r="O68" s="182">
        <f>+SUMIF([1]tb!$B$1:$B$65536,$C68,[1]tb!$AA$1:$AA$65536)</f>
        <v>36175</v>
      </c>
      <c r="P68" s="182">
        <f t="shared" si="4"/>
        <v>36175</v>
      </c>
    </row>
    <row r="69" spans="2:16">
      <c r="B69" s="193" t="s">
        <v>372</v>
      </c>
      <c r="C69" s="192" t="s">
        <v>150</v>
      </c>
      <c r="D69" s="182">
        <f>+SUMIF([1]tb!$B$1:$B$65536,$C69,[1]tb!$E$1:$E$65536)</f>
        <v>3600</v>
      </c>
      <c r="E69" s="182">
        <f>+SUMIF([1]tb!$B$1:$B$65536,$C69,[1]tb!$G$1:$G$65536)</f>
        <v>7300</v>
      </c>
      <c r="F69" s="182">
        <f>+SUMIF([1]tb!$B$1:$B$65536,$C69,[1]tb!$I$1:$I$65536)</f>
        <v>11000</v>
      </c>
      <c r="G69" s="182">
        <f>+SUMIF([1]tb!$B$1:$B$65536,$C69,[1]tb!$K$1:$K$65536)</f>
        <v>11000</v>
      </c>
      <c r="H69" s="182">
        <f>+SUMIF([1]tb!$B$1:$B$65536,$C69,[1]tb!$M$1:$M$65536)</f>
        <v>11000</v>
      </c>
      <c r="I69" s="182">
        <f>+SUMIF([1]tb!$B$1:$B$65536,$C69,[1]tb!$O$1:$O$65536)</f>
        <v>11000</v>
      </c>
      <c r="J69" s="182">
        <f>+SUMIF([1]tb!$B$1:$B$65536,$C69,[1]tb!$Q$1:$Q$65536)</f>
        <v>11000</v>
      </c>
      <c r="K69" s="182">
        <f>+SUMIF([1]tb!$B$1:$B$65536,$C69,[1]tb!$S$1:$S$65536)</f>
        <v>11000</v>
      </c>
      <c r="L69" s="182">
        <f>+SUMIF([1]tb!$B$1:$B$65536,$C69,[1]tb!$U$1:$U$65536)</f>
        <v>11000</v>
      </c>
      <c r="M69" s="182">
        <f>+SUMIF([1]tb!$B$1:$B$65536,$C69,[1]tb!$W$1:$W$65536)</f>
        <v>11000</v>
      </c>
      <c r="N69" s="182">
        <f>+SUMIF([1]tb!$B$1:$B$65536,$C69,[1]tb!$Y$1:$Y$65536)</f>
        <v>11000</v>
      </c>
      <c r="O69" s="182">
        <f>+SUMIF([1]tb!$B$1:$B$65536,$C69,[1]tb!$AA$1:$AA$65536)</f>
        <v>11000</v>
      </c>
      <c r="P69" s="182">
        <f t="shared" si="4"/>
        <v>11000</v>
      </c>
    </row>
    <row r="70" spans="2:16" hidden="1">
      <c r="B70" s="193" t="s">
        <v>373</v>
      </c>
      <c r="C70" s="192" t="s">
        <v>151</v>
      </c>
      <c r="D70" s="182">
        <f>+SUMIF([1]tb!$B$1:$B$65536,$C70,[1]tb!$E$1:$E$65536)</f>
        <v>0</v>
      </c>
      <c r="E70" s="182">
        <f>+SUMIF([1]tb!$B$1:$B$65536,$C70,[1]tb!$G$1:$G$65536)</f>
        <v>0</v>
      </c>
      <c r="F70" s="182">
        <f>+SUMIF([1]tb!$B$1:$B$65536,$C70,[1]tb!$I$1:$I$65536)</f>
        <v>0</v>
      </c>
      <c r="G70" s="182">
        <f>+SUMIF([1]tb!$B$1:$B$65536,$C70,[1]tb!$K$1:$K$65536)</f>
        <v>0</v>
      </c>
      <c r="H70" s="182">
        <f>+SUMIF([1]tb!$B$1:$B$65536,$C70,[1]tb!$M$1:$M$65536)</f>
        <v>0</v>
      </c>
      <c r="I70" s="182">
        <f>+SUMIF([1]tb!$B$1:$B$65536,$C70,[1]tb!$O$1:$O$65536)</f>
        <v>0</v>
      </c>
      <c r="J70" s="182">
        <f>+SUMIF([1]tb!$B$1:$B$65536,$C70,[1]tb!$Q$1:$Q$65536)</f>
        <v>0</v>
      </c>
      <c r="K70" s="182">
        <f>+SUMIF([1]tb!$B$1:$B$65536,$C70,[1]tb!$S$1:$S$65536)</f>
        <v>0</v>
      </c>
      <c r="L70" s="182">
        <f>+SUMIF([1]tb!$B$1:$B$65536,$C70,[1]tb!$U$1:$U$65536)</f>
        <v>0</v>
      </c>
      <c r="M70" s="182">
        <f>+SUMIF([1]tb!$B$1:$B$65536,$C70,[1]tb!$W$1:$W$65536)</f>
        <v>0</v>
      </c>
      <c r="N70" s="182">
        <f>+SUMIF([1]tb!$B$1:$B$65536,$C70,[1]tb!$Y$1:$Y$65536)</f>
        <v>0</v>
      </c>
      <c r="O70" s="182">
        <f>+SUMIF([1]tb!$B$1:$B$65536,$C70,[1]tb!$AA$1:$AA$65536)</f>
        <v>0</v>
      </c>
      <c r="P70" s="182">
        <f t="shared" si="4"/>
        <v>0</v>
      </c>
    </row>
    <row r="71" spans="2:16" hidden="1">
      <c r="B71" s="193" t="s">
        <v>374</v>
      </c>
      <c r="C71" s="192" t="s">
        <v>152</v>
      </c>
      <c r="D71" s="182">
        <f>+SUMIF([1]tb!$B$1:$B$65536,$C71,[1]tb!$E$1:$E$65536)</f>
        <v>0</v>
      </c>
      <c r="E71" s="182">
        <f>+SUMIF([1]tb!$B$1:$B$65536,$C71,[1]tb!$G$1:$G$65536)</f>
        <v>0</v>
      </c>
      <c r="F71" s="182">
        <f>+SUMIF([1]tb!$B$1:$B$65536,$C71,[1]tb!$I$1:$I$65536)</f>
        <v>0</v>
      </c>
      <c r="G71" s="182">
        <f>+SUMIF([1]tb!$B$1:$B$65536,$C71,[1]tb!$K$1:$K$65536)</f>
        <v>0</v>
      </c>
      <c r="H71" s="182">
        <f>+SUMIF([1]tb!$B$1:$B$65536,$C71,[1]tb!$M$1:$M$65536)</f>
        <v>0</v>
      </c>
      <c r="I71" s="182">
        <f>+SUMIF([1]tb!$B$1:$B$65536,$C71,[1]tb!$O$1:$O$65536)</f>
        <v>0</v>
      </c>
      <c r="J71" s="182">
        <f>+SUMIF([1]tb!$B$1:$B$65536,$C71,[1]tb!$Q$1:$Q$65536)</f>
        <v>0</v>
      </c>
      <c r="K71" s="182">
        <f>+SUMIF([1]tb!$B$1:$B$65536,$C71,[1]tb!$S$1:$S$65536)</f>
        <v>0</v>
      </c>
      <c r="L71" s="182">
        <f>+SUMIF([1]tb!$B$1:$B$65536,$C71,[1]tb!$U$1:$U$65536)</f>
        <v>0</v>
      </c>
      <c r="M71" s="182">
        <f>+SUMIF([1]tb!$B$1:$B$65536,$C71,[1]tb!$W$1:$W$65536)</f>
        <v>0</v>
      </c>
      <c r="N71" s="182">
        <f>+SUMIF([1]tb!$B$1:$B$65536,$C71,[1]tb!$Y$1:$Y$65536)</f>
        <v>0</v>
      </c>
      <c r="O71" s="182">
        <f>+SUMIF([1]tb!$B$1:$B$65536,$C71,[1]tb!$AA$1:$AA$65536)</f>
        <v>0</v>
      </c>
      <c r="P71" s="182">
        <f t="shared" si="4"/>
        <v>0</v>
      </c>
    </row>
    <row r="72" spans="2:16" hidden="1">
      <c r="B72" s="193" t="s">
        <v>375</v>
      </c>
      <c r="C72" s="188" t="s">
        <v>153</v>
      </c>
      <c r="D72" s="182">
        <f>+SUMIF([1]tb!$B$1:$B$65536,$C72,[1]tb!$E$1:$E$65536)</f>
        <v>0</v>
      </c>
      <c r="E72" s="182">
        <f>+SUMIF([1]tb!$B$1:$B$65536,$C72,[1]tb!$G$1:$G$65536)</f>
        <v>0</v>
      </c>
      <c r="F72" s="182">
        <f>+SUMIF([1]tb!$B$1:$B$65536,$C72,[1]tb!$I$1:$I$65536)</f>
        <v>0</v>
      </c>
      <c r="G72" s="182">
        <f>+SUMIF([1]tb!$B$1:$B$65536,$C72,[1]tb!$K$1:$K$65536)</f>
        <v>0</v>
      </c>
      <c r="H72" s="182">
        <f>+SUMIF([1]tb!$B$1:$B$65536,$C72,[1]tb!$M$1:$M$65536)</f>
        <v>0</v>
      </c>
      <c r="I72" s="182">
        <f>+SUMIF([1]tb!$B$1:$B$65536,$C72,[1]tb!$O$1:$O$65536)</f>
        <v>0</v>
      </c>
      <c r="J72" s="182">
        <f>+SUMIF([1]tb!$B$1:$B$65536,$C72,[1]tb!$Q$1:$Q$65536)</f>
        <v>0</v>
      </c>
      <c r="K72" s="182">
        <f>+SUMIF([1]tb!$B$1:$B$65536,$C72,[1]tb!$S$1:$S$65536)</f>
        <v>0</v>
      </c>
      <c r="L72" s="182">
        <f>+SUMIF([1]tb!$B$1:$B$65536,$C72,[1]tb!$U$1:$U$65536)</f>
        <v>0</v>
      </c>
      <c r="M72" s="182">
        <f>+SUMIF([1]tb!$B$1:$B$65536,$C72,[1]tb!$W$1:$W$65536)</f>
        <v>0</v>
      </c>
      <c r="N72" s="182">
        <f>+SUMIF([1]tb!$B$1:$B$65536,$C72,[1]tb!$Y$1:$Y$65536)</f>
        <v>0</v>
      </c>
      <c r="O72" s="182">
        <f>+SUMIF([1]tb!$B$1:$B$65536,$C72,[1]tb!$AA$1:$AA$65536)</f>
        <v>0</v>
      </c>
      <c r="P72" s="182">
        <f t="shared" si="4"/>
        <v>0</v>
      </c>
    </row>
    <row r="73" spans="2:16" ht="5.0999999999999996" customHeight="1"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</row>
    <row r="74" spans="2:16">
      <c r="B74" s="195" t="s">
        <v>690</v>
      </c>
      <c r="D74" s="196">
        <f>+SUM(D49:D73)</f>
        <v>1256675.04</v>
      </c>
      <c r="E74" s="196">
        <f t="shared" ref="E74:P74" si="5">+SUM(E49:E73)</f>
        <v>2739644.48</v>
      </c>
      <c r="F74" s="196">
        <f t="shared" si="5"/>
        <v>4343959.6399999997</v>
      </c>
      <c r="G74" s="196">
        <f t="shared" si="5"/>
        <v>4343959.6399999997</v>
      </c>
      <c r="H74" s="196">
        <f t="shared" si="5"/>
        <v>4343959.6399999997</v>
      </c>
      <c r="I74" s="196">
        <f t="shared" si="5"/>
        <v>4343959.6399999997</v>
      </c>
      <c r="J74" s="196">
        <f t="shared" si="5"/>
        <v>4343959.6399999997</v>
      </c>
      <c r="K74" s="196">
        <f t="shared" si="5"/>
        <v>4343959.6399999997</v>
      </c>
      <c r="L74" s="196">
        <f t="shared" si="5"/>
        <v>4343959.6399999997</v>
      </c>
      <c r="M74" s="196">
        <f t="shared" si="5"/>
        <v>4343959.6399999997</v>
      </c>
      <c r="N74" s="196">
        <f t="shared" si="5"/>
        <v>4343959.6399999997</v>
      </c>
      <c r="O74" s="196">
        <f t="shared" si="5"/>
        <v>4343959.6399999997</v>
      </c>
      <c r="P74" s="196">
        <f t="shared" si="5"/>
        <v>4343959.6399999997</v>
      </c>
    </row>
    <row r="75" spans="2:16" ht="5.0999999999999996" customHeight="1"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182"/>
      <c r="P75" s="182"/>
    </row>
    <row r="76" spans="2:16">
      <c r="B76" s="191" t="s">
        <v>691</v>
      </c>
      <c r="D76" s="182"/>
      <c r="E76" s="182"/>
      <c r="F76" s="182"/>
      <c r="G76" s="182"/>
      <c r="H76" s="182"/>
      <c r="I76" s="182"/>
      <c r="J76" s="182"/>
      <c r="K76" s="182"/>
      <c r="L76" s="182"/>
      <c r="M76" s="182"/>
      <c r="N76" s="182"/>
      <c r="O76" s="182"/>
      <c r="P76" s="182"/>
    </row>
    <row r="77" spans="2:16" ht="5.0999999999999996" customHeight="1">
      <c r="D77" s="182"/>
      <c r="E77" s="182"/>
      <c r="F77" s="182"/>
      <c r="G77" s="182"/>
      <c r="H77" s="182"/>
      <c r="I77" s="182"/>
      <c r="J77" s="182"/>
      <c r="K77" s="182"/>
      <c r="L77" s="182"/>
      <c r="M77" s="182"/>
      <c r="N77" s="182"/>
      <c r="O77" s="182"/>
      <c r="P77" s="182"/>
    </row>
    <row r="78" spans="2:16">
      <c r="B78" s="193" t="s">
        <v>376</v>
      </c>
      <c r="C78" s="188" t="s">
        <v>154</v>
      </c>
      <c r="D78" s="182">
        <f>+SUMIF([1]tb!$B$1:$B$65536,$C78,[1]tb!$E$1:$E$65536)</f>
        <v>28749.5</v>
      </c>
      <c r="E78" s="182">
        <f>+SUMIF([1]tb!$B$1:$B$65536,$C78,[1]tb!$G$1:$G$65536)</f>
        <v>135490.07999999999</v>
      </c>
      <c r="F78" s="182">
        <f>+SUMIF([1]tb!$B$1:$B$65536,$C78,[1]tb!$I$1:$I$65536)</f>
        <v>343640.04</v>
      </c>
      <c r="G78" s="182">
        <f>+SUMIF([1]tb!$B$1:$B$65536,$C78,[1]tb!$K$1:$K$65536)</f>
        <v>343640.04</v>
      </c>
      <c r="H78" s="182">
        <f>+SUMIF([1]tb!$B$1:$B$65536,$C78,[1]tb!$M$1:$M$65536)</f>
        <v>343640.04</v>
      </c>
      <c r="I78" s="182">
        <f>+SUMIF([1]tb!$B$1:$B$65536,$C78,[1]tb!$O$1:$O$65536)</f>
        <v>343640.04</v>
      </c>
      <c r="J78" s="182">
        <f>+SUMIF([1]tb!$B$1:$B$65536,$C78,[1]tb!$Q$1:$Q$65536)</f>
        <v>343640.04</v>
      </c>
      <c r="K78" s="182">
        <f>+SUMIF([1]tb!$B$1:$B$65536,$C78,[1]tb!$S$1:$S$65536)</f>
        <v>343640.04</v>
      </c>
      <c r="L78" s="182">
        <f>+SUMIF([1]tb!$B$1:$B$65536,$C78,[1]tb!$U$1:$U$65536)</f>
        <v>343640.04</v>
      </c>
      <c r="M78" s="182">
        <f>+SUMIF([1]tb!$B$1:$B$65536,$C78,[1]tb!$W$1:$W$65536)</f>
        <v>343640.04</v>
      </c>
      <c r="N78" s="182">
        <f>+SUMIF([1]tb!$B$1:$B$65536,$C78,[1]tb!$Y$1:$Y$65536)</f>
        <v>343640.04</v>
      </c>
      <c r="O78" s="182">
        <f>+SUMIF([1]tb!$B$1:$B$65536,$C78,[1]tb!$AA$1:$AA$65536)</f>
        <v>343640.04</v>
      </c>
      <c r="P78" s="182">
        <f t="shared" ref="P78:P124" si="6">+O78</f>
        <v>343640.04</v>
      </c>
    </row>
    <row r="79" spans="2:16" hidden="1">
      <c r="B79" s="193" t="s">
        <v>377</v>
      </c>
      <c r="C79" s="188" t="s">
        <v>155</v>
      </c>
      <c r="D79" s="182">
        <f>+SUMIF([1]tb!$B$1:$B$65536,$C79,[1]tb!$E$1:$E$65536)</f>
        <v>0</v>
      </c>
      <c r="E79" s="182">
        <f>+SUMIF([1]tb!$B$1:$B$65536,$C79,[1]tb!$G$1:$G$65536)</f>
        <v>0</v>
      </c>
      <c r="F79" s="182">
        <f>+SUMIF([1]tb!$B$1:$B$65536,$C79,[1]tb!$I$1:$I$65536)</f>
        <v>0</v>
      </c>
      <c r="G79" s="182">
        <f>+SUMIF([1]tb!$B$1:$B$65536,$C79,[1]tb!$K$1:$K$65536)</f>
        <v>0</v>
      </c>
      <c r="H79" s="182">
        <f>+SUMIF([1]tb!$B$1:$B$65536,$C79,[1]tb!$M$1:$M$65536)</f>
        <v>0</v>
      </c>
      <c r="I79" s="182">
        <f>+SUMIF([1]tb!$B$1:$B$65536,$C79,[1]tb!$O$1:$O$65536)</f>
        <v>0</v>
      </c>
      <c r="J79" s="182">
        <f>+SUMIF([1]tb!$B$1:$B$65536,$C79,[1]tb!$Q$1:$Q$65536)</f>
        <v>0</v>
      </c>
      <c r="K79" s="182">
        <f>+SUMIF([1]tb!$B$1:$B$65536,$C79,[1]tb!$S$1:$S$65536)</f>
        <v>0</v>
      </c>
      <c r="L79" s="182">
        <f>+SUMIF([1]tb!$B$1:$B$65536,$C79,[1]tb!$U$1:$U$65536)</f>
        <v>0</v>
      </c>
      <c r="M79" s="182">
        <f>+SUMIF([1]tb!$B$1:$B$65536,$C79,[1]tb!$W$1:$W$65536)</f>
        <v>0</v>
      </c>
      <c r="N79" s="182">
        <f>+SUMIF([1]tb!$B$1:$B$65536,$C79,[1]tb!$Y$1:$Y$65536)</f>
        <v>0</v>
      </c>
      <c r="O79" s="182">
        <f>+SUMIF([1]tb!$B$1:$B$65536,$C79,[1]tb!$AA$1:$AA$65536)</f>
        <v>0</v>
      </c>
      <c r="P79" s="182">
        <f t="shared" si="6"/>
        <v>0</v>
      </c>
    </row>
    <row r="80" spans="2:16">
      <c r="B80" s="193" t="s">
        <v>378</v>
      </c>
      <c r="C80" s="188" t="s">
        <v>156</v>
      </c>
      <c r="D80" s="182">
        <f>+SUMIF([1]tb!$B$1:$B$65536,$C80,[1]tb!$E$1:$E$65536)</f>
        <v>0</v>
      </c>
      <c r="E80" s="182">
        <f>+SUMIF([1]tb!$B$1:$B$65536,$C80,[1]tb!$G$1:$G$65536)</f>
        <v>0</v>
      </c>
      <c r="F80" s="182">
        <f>+SUMIF([1]tb!$B$1:$B$65536,$C80,[1]tb!$I$1:$I$65536)</f>
        <v>2400</v>
      </c>
      <c r="G80" s="182">
        <f>+SUMIF([1]tb!$B$1:$B$65536,$C80,[1]tb!$K$1:$K$65536)</f>
        <v>2400</v>
      </c>
      <c r="H80" s="182">
        <f>+SUMIF([1]tb!$B$1:$B$65536,$C80,[1]tb!$M$1:$M$65536)</f>
        <v>2400</v>
      </c>
      <c r="I80" s="182">
        <f>+SUMIF([1]tb!$B$1:$B$65536,$C80,[1]tb!$O$1:$O$65536)</f>
        <v>2400</v>
      </c>
      <c r="J80" s="182">
        <f>+SUMIF([1]tb!$B$1:$B$65536,$C80,[1]tb!$Q$1:$Q$65536)</f>
        <v>2400</v>
      </c>
      <c r="K80" s="182">
        <f>+SUMIF([1]tb!$B$1:$B$65536,$C80,[1]tb!$S$1:$S$65536)</f>
        <v>2400</v>
      </c>
      <c r="L80" s="182">
        <f>+SUMIF([1]tb!$B$1:$B$65536,$C80,[1]tb!$U$1:$U$65536)</f>
        <v>2400</v>
      </c>
      <c r="M80" s="182">
        <f>+SUMIF([1]tb!$B$1:$B$65536,$C80,[1]tb!$W$1:$W$65536)</f>
        <v>2400</v>
      </c>
      <c r="N80" s="182">
        <f>+SUMIF([1]tb!$B$1:$B$65536,$C80,[1]tb!$Y$1:$Y$65536)</f>
        <v>2400</v>
      </c>
      <c r="O80" s="182">
        <f>+SUMIF([1]tb!$B$1:$B$65536,$C80,[1]tb!$AA$1:$AA$65536)</f>
        <v>2400</v>
      </c>
      <c r="P80" s="182">
        <f t="shared" si="6"/>
        <v>2400</v>
      </c>
    </row>
    <row r="81" spans="2:16">
      <c r="B81" s="193" t="s">
        <v>379</v>
      </c>
      <c r="C81" s="188" t="s">
        <v>157</v>
      </c>
      <c r="D81" s="182">
        <f>+SUMIF([1]tb!$B$1:$B$65536,$C81,[1]tb!$E$1:$E$65536)</f>
        <v>3000</v>
      </c>
      <c r="E81" s="182">
        <f>+SUMIF([1]tb!$B$1:$B$65536,$C81,[1]tb!$G$1:$G$65536)</f>
        <v>6000</v>
      </c>
      <c r="F81" s="182">
        <f>+SUMIF([1]tb!$B$1:$B$65536,$C81,[1]tb!$I$1:$I$65536)</f>
        <v>9800</v>
      </c>
      <c r="G81" s="182">
        <f>+SUMIF([1]tb!$B$1:$B$65536,$C81,[1]tb!$K$1:$K$65536)</f>
        <v>9800</v>
      </c>
      <c r="H81" s="182">
        <f>+SUMIF([1]tb!$B$1:$B$65536,$C81,[1]tb!$M$1:$M$65536)</f>
        <v>9800</v>
      </c>
      <c r="I81" s="182">
        <f>+SUMIF([1]tb!$B$1:$B$65536,$C81,[1]tb!$O$1:$O$65536)</f>
        <v>9800</v>
      </c>
      <c r="J81" s="182">
        <f>+SUMIF([1]tb!$B$1:$B$65536,$C81,[1]tb!$Q$1:$Q$65536)</f>
        <v>9800</v>
      </c>
      <c r="K81" s="182">
        <f>+SUMIF([1]tb!$B$1:$B$65536,$C81,[1]tb!$S$1:$S$65536)</f>
        <v>9800</v>
      </c>
      <c r="L81" s="182">
        <f>+SUMIF([1]tb!$B$1:$B$65536,$C81,[1]tb!$U$1:$U$65536)</f>
        <v>9800</v>
      </c>
      <c r="M81" s="182">
        <f>+SUMIF([1]tb!$B$1:$B$65536,$C81,[1]tb!$W$1:$W$65536)</f>
        <v>9800</v>
      </c>
      <c r="N81" s="182">
        <f>+SUMIF([1]tb!$B$1:$B$65536,$C81,[1]tb!$Y$1:$Y$65536)</f>
        <v>9800</v>
      </c>
      <c r="O81" s="182">
        <f>+SUMIF([1]tb!$B$1:$B$65536,$C81,[1]tb!$AA$1:$AA$65536)</f>
        <v>9800</v>
      </c>
      <c r="P81" s="182">
        <f t="shared" si="6"/>
        <v>9800</v>
      </c>
    </row>
    <row r="82" spans="2:16">
      <c r="B82" s="193" t="s">
        <v>380</v>
      </c>
      <c r="C82" s="188" t="s">
        <v>158</v>
      </c>
      <c r="D82" s="182">
        <f>+SUMIF([1]tb!$B$1:$B$65536,$C82,[1]tb!$E$1:$E$65536)</f>
        <v>78528.42</v>
      </c>
      <c r="E82" s="182">
        <f>+SUMIF([1]tb!$B$1:$B$65536,$C82,[1]tb!$G$1:$G$65536)</f>
        <v>126558.43</v>
      </c>
      <c r="F82" s="182">
        <f>+SUMIF([1]tb!$B$1:$B$65536,$C82,[1]tb!$I$1:$I$65536)</f>
        <v>152434.07</v>
      </c>
      <c r="G82" s="182">
        <f>+SUMIF([1]tb!$B$1:$B$65536,$C82,[1]tb!$K$1:$K$65536)</f>
        <v>152434.07</v>
      </c>
      <c r="H82" s="182">
        <f>+SUMIF([1]tb!$B$1:$B$65536,$C82,[1]tb!$M$1:$M$65536)</f>
        <v>152434.07</v>
      </c>
      <c r="I82" s="182">
        <f>+SUMIF([1]tb!$B$1:$B$65536,$C82,[1]tb!$O$1:$O$65536)</f>
        <v>152434.07</v>
      </c>
      <c r="J82" s="182">
        <f>+SUMIF([1]tb!$B$1:$B$65536,$C82,[1]tb!$Q$1:$Q$65536)</f>
        <v>152434.07</v>
      </c>
      <c r="K82" s="182">
        <f>+SUMIF([1]tb!$B$1:$B$65536,$C82,[1]tb!$S$1:$S$65536)</f>
        <v>152434.07</v>
      </c>
      <c r="L82" s="182">
        <f>+SUMIF([1]tb!$B$1:$B$65536,$C82,[1]tb!$U$1:$U$65536)</f>
        <v>152434.07</v>
      </c>
      <c r="M82" s="182">
        <f>+SUMIF([1]tb!$B$1:$B$65536,$C82,[1]tb!$W$1:$W$65536)</f>
        <v>152434.07</v>
      </c>
      <c r="N82" s="182">
        <f>+SUMIF([1]tb!$B$1:$B$65536,$C82,[1]tb!$Y$1:$Y$65536)</f>
        <v>152434.07</v>
      </c>
      <c r="O82" s="182">
        <f>+SUMIF([1]tb!$B$1:$B$65536,$C82,[1]tb!$AA$1:$AA$65536)</f>
        <v>152434.07</v>
      </c>
      <c r="P82" s="182">
        <f t="shared" si="6"/>
        <v>152434.07</v>
      </c>
    </row>
    <row r="83" spans="2:16">
      <c r="B83" s="193" t="s">
        <v>381</v>
      </c>
      <c r="C83" s="188" t="s">
        <v>159</v>
      </c>
      <c r="D83" s="182">
        <f>+SUMIF([1]tb!$B$1:$B$65536,$C83,[1]tb!$E$1:$E$65536)</f>
        <v>12758</v>
      </c>
      <c r="E83" s="182">
        <f>+SUMIF([1]tb!$B$1:$B$65536,$C83,[1]tb!$G$1:$G$65536)</f>
        <v>28336</v>
      </c>
      <c r="F83" s="182">
        <f>+SUMIF([1]tb!$B$1:$B$65536,$C83,[1]tb!$I$1:$I$65536)</f>
        <v>44602</v>
      </c>
      <c r="G83" s="182">
        <f>+SUMIF([1]tb!$B$1:$B$65536,$C83,[1]tb!$K$1:$K$65536)</f>
        <v>44602</v>
      </c>
      <c r="H83" s="182">
        <f>+SUMIF([1]tb!$B$1:$B$65536,$C83,[1]tb!$M$1:$M$65536)</f>
        <v>44602</v>
      </c>
      <c r="I83" s="182">
        <f>+SUMIF([1]tb!$B$1:$B$65536,$C83,[1]tb!$O$1:$O$65536)</f>
        <v>44602</v>
      </c>
      <c r="J83" s="182">
        <f>+SUMIF([1]tb!$B$1:$B$65536,$C83,[1]tb!$Q$1:$Q$65536)</f>
        <v>44602</v>
      </c>
      <c r="K83" s="182">
        <f>+SUMIF([1]tb!$B$1:$B$65536,$C83,[1]tb!$S$1:$S$65536)</f>
        <v>44602</v>
      </c>
      <c r="L83" s="182">
        <f>+SUMIF([1]tb!$B$1:$B$65536,$C83,[1]tb!$U$1:$U$65536)</f>
        <v>44602</v>
      </c>
      <c r="M83" s="182">
        <f>+SUMIF([1]tb!$B$1:$B$65536,$C83,[1]tb!$W$1:$W$65536)</f>
        <v>44602</v>
      </c>
      <c r="N83" s="182">
        <f>+SUMIF([1]tb!$B$1:$B$65536,$C83,[1]tb!$Y$1:$Y$65536)</f>
        <v>44602</v>
      </c>
      <c r="O83" s="182">
        <f>+SUMIF([1]tb!$B$1:$B$65536,$C83,[1]tb!$AA$1:$AA$65536)</f>
        <v>44602</v>
      </c>
      <c r="P83" s="182">
        <f t="shared" si="6"/>
        <v>44602</v>
      </c>
    </row>
    <row r="84" spans="2:16" hidden="1">
      <c r="B84" s="193" t="s">
        <v>385</v>
      </c>
      <c r="C84" s="188" t="s">
        <v>163</v>
      </c>
      <c r="D84" s="182">
        <f>+SUMIF([1]tb!$B$1:$B$65536,$C84,[1]tb!$E$1:$E$65536)</f>
        <v>0</v>
      </c>
      <c r="E84" s="182">
        <f>+SUMIF([1]tb!$B$1:$B$65536,$C84,[1]tb!$G$1:$G$65536)</f>
        <v>0</v>
      </c>
      <c r="F84" s="182">
        <f>+SUMIF([1]tb!$B$1:$B$65536,$C84,[1]tb!$I$1:$I$65536)</f>
        <v>0</v>
      </c>
      <c r="G84" s="182">
        <f>+SUMIF([1]tb!$B$1:$B$65536,$C84,[1]tb!$K$1:$K$65536)</f>
        <v>0</v>
      </c>
      <c r="H84" s="182">
        <f>+SUMIF([1]tb!$B$1:$B$65536,$C84,[1]tb!$M$1:$M$65536)</f>
        <v>0</v>
      </c>
      <c r="I84" s="182">
        <f>+SUMIF([1]tb!$B$1:$B$65536,$C84,[1]tb!$O$1:$O$65536)</f>
        <v>0</v>
      </c>
      <c r="J84" s="182">
        <f>+SUMIF([1]tb!$B$1:$B$65536,$C84,[1]tb!$Q$1:$Q$65536)</f>
        <v>0</v>
      </c>
      <c r="K84" s="182">
        <f>+SUMIF([1]tb!$B$1:$B$65536,$C84,[1]tb!$S$1:$S$65536)</f>
        <v>0</v>
      </c>
      <c r="L84" s="182">
        <f>+SUMIF([1]tb!$B$1:$B$65536,$C84,[1]tb!$U$1:$U$65536)</f>
        <v>0</v>
      </c>
      <c r="M84" s="182">
        <f>+SUMIF([1]tb!$B$1:$B$65536,$C84,[1]tb!$W$1:$W$65536)</f>
        <v>0</v>
      </c>
      <c r="N84" s="182">
        <f>+SUMIF([1]tb!$B$1:$B$65536,$C84,[1]tb!$Y$1:$Y$65536)</f>
        <v>0</v>
      </c>
      <c r="O84" s="182">
        <f>+SUMIF([1]tb!$B$1:$B$65536,$C84,[1]tb!$AA$1:$AA$65536)</f>
        <v>0</v>
      </c>
      <c r="P84" s="182">
        <f t="shared" si="6"/>
        <v>0</v>
      </c>
    </row>
    <row r="85" spans="2:16">
      <c r="B85" s="193" t="s">
        <v>386</v>
      </c>
      <c r="C85" s="188" t="s">
        <v>164</v>
      </c>
      <c r="D85" s="182">
        <f>+SUMIF([1]tb!$B$1:$B$65536,$C85,[1]tb!$E$1:$E$65536)</f>
        <v>0</v>
      </c>
      <c r="E85" s="182">
        <f>+SUMIF([1]tb!$B$1:$B$65536,$C85,[1]tb!$G$1:$G$65536)</f>
        <v>22010.86</v>
      </c>
      <c r="F85" s="182">
        <f>+SUMIF([1]tb!$B$1:$B$65536,$C85,[1]tb!$I$1:$I$65536)</f>
        <v>2010.8600000000006</v>
      </c>
      <c r="G85" s="182">
        <f>+SUMIF([1]tb!$B$1:$B$65536,$C85,[1]tb!$K$1:$K$65536)</f>
        <v>2010.8600000000006</v>
      </c>
      <c r="H85" s="182">
        <f>+SUMIF([1]tb!$B$1:$B$65536,$C85,[1]tb!$M$1:$M$65536)</f>
        <v>2010.8600000000006</v>
      </c>
      <c r="I85" s="182">
        <f>+SUMIF([1]tb!$B$1:$B$65536,$C85,[1]tb!$O$1:$O$65536)</f>
        <v>2010.8600000000006</v>
      </c>
      <c r="J85" s="182">
        <f>+SUMIF([1]tb!$B$1:$B$65536,$C85,[1]tb!$Q$1:$Q$65536)</f>
        <v>2010.8600000000006</v>
      </c>
      <c r="K85" s="182">
        <f>+SUMIF([1]tb!$B$1:$B$65536,$C85,[1]tb!$S$1:$S$65536)</f>
        <v>2010.8600000000006</v>
      </c>
      <c r="L85" s="182">
        <f>+SUMIF([1]tb!$B$1:$B$65536,$C85,[1]tb!$U$1:$U$65536)</f>
        <v>2010.8600000000006</v>
      </c>
      <c r="M85" s="182">
        <f>+SUMIF([1]tb!$B$1:$B$65536,$C85,[1]tb!$W$1:$W$65536)</f>
        <v>2010.8600000000006</v>
      </c>
      <c r="N85" s="182">
        <f>+SUMIF([1]tb!$B$1:$B$65536,$C85,[1]tb!$Y$1:$Y$65536)</f>
        <v>2010.8600000000006</v>
      </c>
      <c r="O85" s="182">
        <f>+SUMIF([1]tb!$B$1:$B$65536,$C85,[1]tb!$AA$1:$AA$65536)</f>
        <v>2010.8600000000006</v>
      </c>
      <c r="P85" s="182">
        <f t="shared" si="6"/>
        <v>2010.8600000000006</v>
      </c>
    </row>
    <row r="86" spans="2:16">
      <c r="B86" s="193" t="s">
        <v>388</v>
      </c>
      <c r="C86" s="188" t="s">
        <v>166</v>
      </c>
      <c r="D86" s="182">
        <f>+SUMIF([1]tb!$B$1:$B$65536,$C86,[1]tb!$E$1:$E$65536)</f>
        <v>0</v>
      </c>
      <c r="E86" s="182">
        <f>+SUMIF([1]tb!$B$1:$B$65536,$C86,[1]tb!$G$1:$G$65536)</f>
        <v>2938</v>
      </c>
      <c r="F86" s="182">
        <f>+SUMIF([1]tb!$B$1:$B$65536,$C86,[1]tb!$I$1:$I$65536)</f>
        <v>2336.75</v>
      </c>
      <c r="G86" s="182">
        <f>+SUMIF([1]tb!$B$1:$B$65536,$C86,[1]tb!$K$1:$K$65536)</f>
        <v>2336.75</v>
      </c>
      <c r="H86" s="182">
        <f>+SUMIF([1]tb!$B$1:$B$65536,$C86,[1]tb!$M$1:$M$65536)</f>
        <v>2336.75</v>
      </c>
      <c r="I86" s="182">
        <f>+SUMIF([1]tb!$B$1:$B$65536,$C86,[1]tb!$O$1:$O$65536)</f>
        <v>2336.75</v>
      </c>
      <c r="J86" s="182">
        <f>+SUMIF([1]tb!$B$1:$B$65536,$C86,[1]tb!$Q$1:$Q$65536)</f>
        <v>2336.75</v>
      </c>
      <c r="K86" s="182">
        <f>+SUMIF([1]tb!$B$1:$B$65536,$C86,[1]tb!$S$1:$S$65536)</f>
        <v>2336.75</v>
      </c>
      <c r="L86" s="182">
        <f>+SUMIF([1]tb!$B$1:$B$65536,$C86,[1]tb!$U$1:$U$65536)</f>
        <v>2336.75</v>
      </c>
      <c r="M86" s="182">
        <f>+SUMIF([1]tb!$B$1:$B$65536,$C86,[1]tb!$W$1:$W$65536)</f>
        <v>2336.75</v>
      </c>
      <c r="N86" s="182">
        <f>+SUMIF([1]tb!$B$1:$B$65536,$C86,[1]tb!$Y$1:$Y$65536)</f>
        <v>2336.75</v>
      </c>
      <c r="O86" s="182">
        <f>+SUMIF([1]tb!$B$1:$B$65536,$C86,[1]tb!$AA$1:$AA$65536)</f>
        <v>2336.75</v>
      </c>
      <c r="P86" s="182">
        <f t="shared" si="6"/>
        <v>2336.75</v>
      </c>
    </row>
    <row r="87" spans="2:16">
      <c r="B87" s="193" t="s">
        <v>389</v>
      </c>
      <c r="C87" s="188" t="s">
        <v>167</v>
      </c>
      <c r="D87" s="182">
        <f>+SUMIF([1]tb!$B$1:$B$65536,$C87,[1]tb!$E$1:$E$65536)</f>
        <v>720</v>
      </c>
      <c r="E87" s="182">
        <f>+SUMIF([1]tb!$B$1:$B$65536,$C87,[1]tb!$G$1:$G$65536)</f>
        <v>14420.03</v>
      </c>
      <c r="F87" s="182">
        <f>+SUMIF([1]tb!$B$1:$B$65536,$C87,[1]tb!$I$1:$I$65536)</f>
        <v>28887.239999999998</v>
      </c>
      <c r="G87" s="182">
        <f>+SUMIF([1]tb!$B$1:$B$65536,$C87,[1]tb!$K$1:$K$65536)</f>
        <v>28887.239999999998</v>
      </c>
      <c r="H87" s="182">
        <f>+SUMIF([1]tb!$B$1:$B$65536,$C87,[1]tb!$M$1:$M$65536)</f>
        <v>28887.239999999998</v>
      </c>
      <c r="I87" s="182">
        <f>+SUMIF([1]tb!$B$1:$B$65536,$C87,[1]tb!$O$1:$O$65536)</f>
        <v>28887.239999999998</v>
      </c>
      <c r="J87" s="182">
        <f>+SUMIF([1]tb!$B$1:$B$65536,$C87,[1]tb!$Q$1:$Q$65536)</f>
        <v>28887.239999999998</v>
      </c>
      <c r="K87" s="182">
        <f>+SUMIF([1]tb!$B$1:$B$65536,$C87,[1]tb!$S$1:$S$65536)</f>
        <v>28887.239999999998</v>
      </c>
      <c r="L87" s="182">
        <f>+SUMIF([1]tb!$B$1:$B$65536,$C87,[1]tb!$U$1:$U$65536)</f>
        <v>28887.239999999998</v>
      </c>
      <c r="M87" s="182">
        <f>+SUMIF([1]tb!$B$1:$B$65536,$C87,[1]tb!$W$1:$W$65536)</f>
        <v>28887.239999999998</v>
      </c>
      <c r="N87" s="182">
        <f>+SUMIF([1]tb!$B$1:$B$65536,$C87,[1]tb!$Y$1:$Y$65536)</f>
        <v>28887.239999999998</v>
      </c>
      <c r="O87" s="182">
        <f>+SUMIF([1]tb!$B$1:$B$65536,$C87,[1]tb!$AA$1:$AA$65536)</f>
        <v>28887.239999999998</v>
      </c>
      <c r="P87" s="182">
        <f t="shared" si="6"/>
        <v>28887.239999999998</v>
      </c>
    </row>
    <row r="88" spans="2:16">
      <c r="B88" s="193" t="s">
        <v>390</v>
      </c>
      <c r="C88" s="188" t="s">
        <v>168</v>
      </c>
      <c r="D88" s="182">
        <f>+SUMIF([1]tb!$B$1:$B$65536,$C88,[1]tb!$E$1:$E$65536)</f>
        <v>249415.44</v>
      </c>
      <c r="E88" s="182">
        <f>+SUMIF([1]tb!$B$1:$B$65536,$C88,[1]tb!$G$1:$G$65536)</f>
        <v>397646.29</v>
      </c>
      <c r="F88" s="182">
        <f>+SUMIF([1]tb!$B$1:$B$65536,$C88,[1]tb!$I$1:$I$65536)</f>
        <v>569508.59</v>
      </c>
      <c r="G88" s="182">
        <f>+SUMIF([1]tb!$B$1:$B$65536,$C88,[1]tb!$K$1:$K$65536)</f>
        <v>569508.59</v>
      </c>
      <c r="H88" s="182">
        <f>+SUMIF([1]tb!$B$1:$B$65536,$C88,[1]tb!$M$1:$M$65536)</f>
        <v>569508.59</v>
      </c>
      <c r="I88" s="182">
        <f>+SUMIF([1]tb!$B$1:$B$65536,$C88,[1]tb!$O$1:$O$65536)</f>
        <v>569508.59</v>
      </c>
      <c r="J88" s="182">
        <f>+SUMIF([1]tb!$B$1:$B$65536,$C88,[1]tb!$Q$1:$Q$65536)</f>
        <v>569508.59</v>
      </c>
      <c r="K88" s="182">
        <f>+SUMIF([1]tb!$B$1:$B$65536,$C88,[1]tb!$S$1:$S$65536)</f>
        <v>569508.59</v>
      </c>
      <c r="L88" s="182">
        <f>+SUMIF([1]tb!$B$1:$B$65536,$C88,[1]tb!$U$1:$U$65536)</f>
        <v>569508.59</v>
      </c>
      <c r="M88" s="182">
        <f>+SUMIF([1]tb!$B$1:$B$65536,$C88,[1]tb!$W$1:$W$65536)</f>
        <v>569508.59</v>
      </c>
      <c r="N88" s="182">
        <f>+SUMIF([1]tb!$B$1:$B$65536,$C88,[1]tb!$Y$1:$Y$65536)</f>
        <v>569508.59</v>
      </c>
      <c r="O88" s="182">
        <f>+SUMIF([1]tb!$B$1:$B$65536,$C88,[1]tb!$AA$1:$AA$65536)</f>
        <v>569508.59</v>
      </c>
      <c r="P88" s="182">
        <f t="shared" si="6"/>
        <v>569508.59</v>
      </c>
    </row>
    <row r="89" spans="2:16">
      <c r="B89" s="193" t="s">
        <v>391</v>
      </c>
      <c r="C89" s="188" t="s">
        <v>169</v>
      </c>
      <c r="D89" s="182">
        <f>+SUMIF([1]tb!$B$1:$B$65536,$C89,[1]tb!$E$1:$E$65536)</f>
        <v>10436</v>
      </c>
      <c r="E89" s="182">
        <f>+SUMIF([1]tb!$B$1:$B$65536,$C89,[1]tb!$G$1:$G$65536)</f>
        <v>14193.6</v>
      </c>
      <c r="F89" s="182">
        <f>+SUMIF([1]tb!$B$1:$B$65536,$C89,[1]tb!$I$1:$I$65536)</f>
        <v>13563.6</v>
      </c>
      <c r="G89" s="182">
        <f>+SUMIF([1]tb!$B$1:$B$65536,$C89,[1]tb!$K$1:$K$65536)</f>
        <v>13563.6</v>
      </c>
      <c r="H89" s="182">
        <f>+SUMIF([1]tb!$B$1:$B$65536,$C89,[1]tb!$M$1:$M$65536)</f>
        <v>13563.6</v>
      </c>
      <c r="I89" s="182">
        <f>+SUMIF([1]tb!$B$1:$B$65536,$C89,[1]tb!$O$1:$O$65536)</f>
        <v>13563.6</v>
      </c>
      <c r="J89" s="182">
        <f>+SUMIF([1]tb!$B$1:$B$65536,$C89,[1]tb!$Q$1:$Q$65536)</f>
        <v>13563.6</v>
      </c>
      <c r="K89" s="182">
        <f>+SUMIF([1]tb!$B$1:$B$65536,$C89,[1]tb!$S$1:$S$65536)</f>
        <v>13563.6</v>
      </c>
      <c r="L89" s="182">
        <f>+SUMIF([1]tb!$B$1:$B$65536,$C89,[1]tb!$U$1:$U$65536)</f>
        <v>13563.6</v>
      </c>
      <c r="M89" s="182">
        <f>+SUMIF([1]tb!$B$1:$B$65536,$C89,[1]tb!$W$1:$W$65536)</f>
        <v>13563.6</v>
      </c>
      <c r="N89" s="182">
        <f>+SUMIF([1]tb!$B$1:$B$65536,$C89,[1]tb!$Y$1:$Y$65536)</f>
        <v>13563.6</v>
      </c>
      <c r="O89" s="182">
        <f>+SUMIF([1]tb!$B$1:$B$65536,$C89,[1]tb!$AA$1:$AA$65536)</f>
        <v>13563.6</v>
      </c>
      <c r="P89" s="182">
        <f t="shared" si="6"/>
        <v>13563.6</v>
      </c>
    </row>
    <row r="90" spans="2:16">
      <c r="B90" s="193" t="s">
        <v>392</v>
      </c>
      <c r="C90" s="188" t="s">
        <v>170</v>
      </c>
      <c r="D90" s="182">
        <f>+SUMIF([1]tb!$B$1:$B$65536,$C90,[1]tb!$E$1:$E$65536)</f>
        <v>4000</v>
      </c>
      <c r="E90" s="182">
        <f>+SUMIF([1]tb!$B$1:$B$65536,$C90,[1]tb!$G$1:$G$65536)</f>
        <v>8600</v>
      </c>
      <c r="F90" s="182">
        <f>+SUMIF([1]tb!$B$1:$B$65536,$C90,[1]tb!$I$1:$I$65536)</f>
        <v>19600</v>
      </c>
      <c r="G90" s="182">
        <f>+SUMIF([1]tb!$B$1:$B$65536,$C90,[1]tb!$K$1:$K$65536)</f>
        <v>19600</v>
      </c>
      <c r="H90" s="182">
        <f>+SUMIF([1]tb!$B$1:$B$65536,$C90,[1]tb!$M$1:$M$65536)</f>
        <v>19600</v>
      </c>
      <c r="I90" s="182">
        <f>+SUMIF([1]tb!$B$1:$B$65536,$C90,[1]tb!$O$1:$O$65536)</f>
        <v>19600</v>
      </c>
      <c r="J90" s="182">
        <f>+SUMIF([1]tb!$B$1:$B$65536,$C90,[1]tb!$Q$1:$Q$65536)</f>
        <v>19600</v>
      </c>
      <c r="K90" s="182">
        <f>+SUMIF([1]tb!$B$1:$B$65536,$C90,[1]tb!$S$1:$S$65536)</f>
        <v>19600</v>
      </c>
      <c r="L90" s="182">
        <f>+SUMIF([1]tb!$B$1:$B$65536,$C90,[1]tb!$U$1:$U$65536)</f>
        <v>19600</v>
      </c>
      <c r="M90" s="182">
        <f>+SUMIF([1]tb!$B$1:$B$65536,$C90,[1]tb!$W$1:$W$65536)</f>
        <v>19600</v>
      </c>
      <c r="N90" s="182">
        <f>+SUMIF([1]tb!$B$1:$B$65536,$C90,[1]tb!$Y$1:$Y$65536)</f>
        <v>19600</v>
      </c>
      <c r="O90" s="182">
        <f>+SUMIF([1]tb!$B$1:$B$65536,$C90,[1]tb!$AA$1:$AA$65536)</f>
        <v>19600</v>
      </c>
      <c r="P90" s="182">
        <f t="shared" si="6"/>
        <v>19600</v>
      </c>
    </row>
    <row r="91" spans="2:16">
      <c r="B91" s="193" t="s">
        <v>393</v>
      </c>
      <c r="C91" s="188" t="s">
        <v>171</v>
      </c>
      <c r="D91" s="182">
        <f>+SUMIF([1]tb!$B$1:$B$65536,$C91,[1]tb!$E$1:$E$65536)</f>
        <v>5637.41</v>
      </c>
      <c r="E91" s="182">
        <f>+SUMIF([1]tb!$B$1:$B$65536,$C91,[1]tb!$G$1:$G$65536)</f>
        <v>15926.07</v>
      </c>
      <c r="F91" s="182">
        <f>+SUMIF([1]tb!$B$1:$B$65536,$C91,[1]tb!$I$1:$I$65536)</f>
        <v>35975.07</v>
      </c>
      <c r="G91" s="182">
        <f>+SUMIF([1]tb!$B$1:$B$65536,$C91,[1]tb!$K$1:$K$65536)</f>
        <v>35975.07</v>
      </c>
      <c r="H91" s="182">
        <f>+SUMIF([1]tb!$B$1:$B$65536,$C91,[1]tb!$M$1:$M$65536)</f>
        <v>35975.07</v>
      </c>
      <c r="I91" s="182">
        <f>+SUMIF([1]tb!$B$1:$B$65536,$C91,[1]tb!$O$1:$O$65536)</f>
        <v>35975.07</v>
      </c>
      <c r="J91" s="182">
        <f>+SUMIF([1]tb!$B$1:$B$65536,$C91,[1]tb!$Q$1:$Q$65536)</f>
        <v>35975.07</v>
      </c>
      <c r="K91" s="182">
        <f>+SUMIF([1]tb!$B$1:$B$65536,$C91,[1]tb!$S$1:$S$65536)</f>
        <v>35975.07</v>
      </c>
      <c r="L91" s="182">
        <f>+SUMIF([1]tb!$B$1:$B$65536,$C91,[1]tb!$U$1:$U$65536)</f>
        <v>35975.07</v>
      </c>
      <c r="M91" s="182">
        <f>+SUMIF([1]tb!$B$1:$B$65536,$C91,[1]tb!$W$1:$W$65536)</f>
        <v>35975.07</v>
      </c>
      <c r="N91" s="182">
        <f>+SUMIF([1]tb!$B$1:$B$65536,$C91,[1]tb!$Y$1:$Y$65536)</f>
        <v>35975.07</v>
      </c>
      <c r="O91" s="182">
        <f>+SUMIF([1]tb!$B$1:$B$65536,$C91,[1]tb!$AA$1:$AA$65536)</f>
        <v>35975.07</v>
      </c>
      <c r="P91" s="182">
        <f t="shared" si="6"/>
        <v>35975.07</v>
      </c>
    </row>
    <row r="92" spans="2:16">
      <c r="B92" s="193" t="s">
        <v>394</v>
      </c>
      <c r="C92" s="188" t="s">
        <v>172</v>
      </c>
      <c r="D92" s="182">
        <f>+SUMIF([1]tb!$B$1:$B$65536,$C92,[1]tb!$E$1:$E$65536)</f>
        <v>9520</v>
      </c>
      <c r="E92" s="182">
        <f>+SUMIF([1]tb!$B$1:$B$65536,$C92,[1]tb!$G$1:$G$65536)</f>
        <v>19600</v>
      </c>
      <c r="F92" s="182">
        <f>+SUMIF([1]tb!$B$1:$B$65536,$C92,[1]tb!$I$1:$I$65536)</f>
        <v>29120</v>
      </c>
      <c r="G92" s="182">
        <f>+SUMIF([1]tb!$B$1:$B$65536,$C92,[1]tb!$K$1:$K$65536)</f>
        <v>29120</v>
      </c>
      <c r="H92" s="182">
        <f>+SUMIF([1]tb!$B$1:$B$65536,$C92,[1]tb!$M$1:$M$65536)</f>
        <v>29120</v>
      </c>
      <c r="I92" s="182">
        <f>+SUMIF([1]tb!$B$1:$B$65536,$C92,[1]tb!$O$1:$O$65536)</f>
        <v>29120</v>
      </c>
      <c r="J92" s="182">
        <f>+SUMIF([1]tb!$B$1:$B$65536,$C92,[1]tb!$Q$1:$Q$65536)</f>
        <v>29120</v>
      </c>
      <c r="K92" s="182">
        <f>+SUMIF([1]tb!$B$1:$B$65536,$C92,[1]tb!$S$1:$S$65536)</f>
        <v>29120</v>
      </c>
      <c r="L92" s="182">
        <f>+SUMIF([1]tb!$B$1:$B$65536,$C92,[1]tb!$U$1:$U$65536)</f>
        <v>29120</v>
      </c>
      <c r="M92" s="182">
        <f>+SUMIF([1]tb!$B$1:$B$65536,$C92,[1]tb!$W$1:$W$65536)</f>
        <v>29120</v>
      </c>
      <c r="N92" s="182">
        <f>+SUMIF([1]tb!$B$1:$B$65536,$C92,[1]tb!$Y$1:$Y$65536)</f>
        <v>29120</v>
      </c>
      <c r="O92" s="182">
        <f>+SUMIF([1]tb!$B$1:$B$65536,$C92,[1]tb!$AA$1:$AA$65536)</f>
        <v>29120</v>
      </c>
      <c r="P92" s="182">
        <f t="shared" si="6"/>
        <v>29120</v>
      </c>
    </row>
    <row r="93" spans="2:16">
      <c r="B93" s="193" t="s">
        <v>395</v>
      </c>
      <c r="C93" s="188" t="s">
        <v>173</v>
      </c>
      <c r="D93" s="182">
        <f>+SUMIF([1]tb!$B$1:$B$65536,$C93,[1]tb!$E$1:$E$65536)</f>
        <v>0</v>
      </c>
      <c r="E93" s="182">
        <f>+SUMIF([1]tb!$B$1:$B$65536,$C93,[1]tb!$G$1:$G$65536)</f>
        <v>1254.19</v>
      </c>
      <c r="F93" s="182">
        <f>+SUMIF([1]tb!$B$1:$B$65536,$C93,[1]tb!$I$1:$I$65536)</f>
        <v>2929.19</v>
      </c>
      <c r="G93" s="182">
        <f>+SUMIF([1]tb!$B$1:$B$65536,$C93,[1]tb!$K$1:$K$65536)</f>
        <v>2929.19</v>
      </c>
      <c r="H93" s="182">
        <f>+SUMIF([1]tb!$B$1:$B$65536,$C93,[1]tb!$M$1:$M$65536)</f>
        <v>2929.19</v>
      </c>
      <c r="I93" s="182">
        <f>+SUMIF([1]tb!$B$1:$B$65536,$C93,[1]tb!$O$1:$O$65536)</f>
        <v>2929.19</v>
      </c>
      <c r="J93" s="182">
        <f>+SUMIF([1]tb!$B$1:$B$65536,$C93,[1]tb!$Q$1:$Q$65536)</f>
        <v>2929.19</v>
      </c>
      <c r="K93" s="182">
        <f>+SUMIF([1]tb!$B$1:$B$65536,$C93,[1]tb!$S$1:$S$65536)</f>
        <v>2929.19</v>
      </c>
      <c r="L93" s="182">
        <f>+SUMIF([1]tb!$B$1:$B$65536,$C93,[1]tb!$U$1:$U$65536)</f>
        <v>2929.19</v>
      </c>
      <c r="M93" s="182">
        <f>+SUMIF([1]tb!$B$1:$B$65536,$C93,[1]tb!$W$1:$W$65536)</f>
        <v>2929.19</v>
      </c>
      <c r="N93" s="182">
        <f>+SUMIF([1]tb!$B$1:$B$65536,$C93,[1]tb!$Y$1:$Y$65536)</f>
        <v>2929.19</v>
      </c>
      <c r="O93" s="182">
        <f>+SUMIF([1]tb!$B$1:$B$65536,$C93,[1]tb!$AA$1:$AA$65536)</f>
        <v>2929.19</v>
      </c>
      <c r="P93" s="182">
        <f t="shared" si="6"/>
        <v>2929.19</v>
      </c>
    </row>
    <row r="94" spans="2:16" hidden="1">
      <c r="B94" s="193" t="s">
        <v>397</v>
      </c>
      <c r="C94" s="188" t="s">
        <v>175</v>
      </c>
      <c r="D94" s="182">
        <f>+SUMIF([1]tb!$B$1:$B$65536,$C94,[1]tb!$E$1:$E$65536)</f>
        <v>0</v>
      </c>
      <c r="E94" s="182">
        <f>+SUMIF([1]tb!$B$1:$B$65536,$C94,[1]tb!$G$1:$G$65536)</f>
        <v>0</v>
      </c>
      <c r="F94" s="182">
        <f>+SUMIF([1]tb!$B$1:$B$65536,$C94,[1]tb!$I$1:$I$65536)</f>
        <v>0</v>
      </c>
      <c r="G94" s="182">
        <f>+SUMIF([1]tb!$B$1:$B$65536,$C94,[1]tb!$K$1:$K$65536)</f>
        <v>0</v>
      </c>
      <c r="H94" s="182">
        <f>+SUMIF([1]tb!$B$1:$B$65536,$C94,[1]tb!$M$1:$M$65536)</f>
        <v>0</v>
      </c>
      <c r="I94" s="182">
        <f>+SUMIF([1]tb!$B$1:$B$65536,$C94,[1]tb!$O$1:$O$65536)</f>
        <v>0</v>
      </c>
      <c r="J94" s="182">
        <f>+SUMIF([1]tb!$B$1:$B$65536,$C94,[1]tb!$Q$1:$Q$65536)</f>
        <v>0</v>
      </c>
      <c r="K94" s="182">
        <f>+SUMIF([1]tb!$B$1:$B$65536,$C94,[1]tb!$S$1:$S$65536)</f>
        <v>0</v>
      </c>
      <c r="L94" s="182">
        <f>+SUMIF([1]tb!$B$1:$B$65536,$C94,[1]tb!$U$1:$U$65536)</f>
        <v>0</v>
      </c>
      <c r="M94" s="182">
        <f>+SUMIF([1]tb!$B$1:$B$65536,$C94,[1]tb!$W$1:$W$65536)</f>
        <v>0</v>
      </c>
      <c r="N94" s="182">
        <f>+SUMIF([1]tb!$B$1:$B$65536,$C94,[1]tb!$Y$1:$Y$65536)</f>
        <v>0</v>
      </c>
      <c r="O94" s="182">
        <f>+SUMIF([1]tb!$B$1:$B$65536,$C94,[1]tb!$AA$1:$AA$65536)</f>
        <v>0</v>
      </c>
      <c r="P94" s="182">
        <f t="shared" si="6"/>
        <v>0</v>
      </c>
    </row>
    <row r="95" spans="2:16">
      <c r="B95" s="193" t="s">
        <v>398</v>
      </c>
      <c r="C95" s="188" t="s">
        <v>176</v>
      </c>
      <c r="D95" s="182">
        <f>+SUMIF([1]tb!$B$1:$B$65536,$C95,[1]tb!$E$1:$E$65536)</f>
        <v>8200</v>
      </c>
      <c r="E95" s="182">
        <f>+SUMIF([1]tb!$B$1:$B$65536,$C95,[1]tb!$G$1:$G$65536)</f>
        <v>8200</v>
      </c>
      <c r="F95" s="182">
        <f>+SUMIF([1]tb!$B$1:$B$65536,$C95,[1]tb!$I$1:$I$65536)</f>
        <v>49200</v>
      </c>
      <c r="G95" s="182">
        <f>+SUMIF([1]tb!$B$1:$B$65536,$C95,[1]tb!$K$1:$K$65536)</f>
        <v>49200</v>
      </c>
      <c r="H95" s="182">
        <f>+SUMIF([1]tb!$B$1:$B$65536,$C95,[1]tb!$M$1:$M$65536)</f>
        <v>49200</v>
      </c>
      <c r="I95" s="182">
        <f>+SUMIF([1]tb!$B$1:$B$65536,$C95,[1]tb!$O$1:$O$65536)</f>
        <v>49200</v>
      </c>
      <c r="J95" s="182">
        <f>+SUMIF([1]tb!$B$1:$B$65536,$C95,[1]tb!$Q$1:$Q$65536)</f>
        <v>49200</v>
      </c>
      <c r="K95" s="182">
        <f>+SUMIF([1]tb!$B$1:$B$65536,$C95,[1]tb!$S$1:$S$65536)</f>
        <v>49200</v>
      </c>
      <c r="L95" s="182">
        <f>+SUMIF([1]tb!$B$1:$B$65536,$C95,[1]tb!$U$1:$U$65536)</f>
        <v>49200</v>
      </c>
      <c r="M95" s="182">
        <f>+SUMIF([1]tb!$B$1:$B$65536,$C95,[1]tb!$W$1:$W$65536)</f>
        <v>49200</v>
      </c>
      <c r="N95" s="182">
        <f>+SUMIF([1]tb!$B$1:$B$65536,$C95,[1]tb!$Y$1:$Y$65536)</f>
        <v>49200</v>
      </c>
      <c r="O95" s="182">
        <f>+SUMIF([1]tb!$B$1:$B$65536,$C95,[1]tb!$AA$1:$AA$65536)</f>
        <v>49200</v>
      </c>
      <c r="P95" s="182">
        <f t="shared" si="6"/>
        <v>49200</v>
      </c>
    </row>
    <row r="96" spans="2:16">
      <c r="B96" s="193" t="s">
        <v>399</v>
      </c>
      <c r="C96" s="188" t="s">
        <v>177</v>
      </c>
      <c r="D96" s="182">
        <f>+SUMIF([1]tb!$B$1:$B$65536,$C96,[1]tb!$E$1:$E$65536)</f>
        <v>0</v>
      </c>
      <c r="E96" s="182">
        <f>+SUMIF([1]tb!$B$1:$B$65536,$C96,[1]tb!$G$1:$G$65536)</f>
        <v>0</v>
      </c>
      <c r="F96" s="182">
        <f>+SUMIF([1]tb!$B$1:$B$65536,$C96,[1]tb!$I$1:$I$65536)</f>
        <v>100</v>
      </c>
      <c r="G96" s="182">
        <f>+SUMIF([1]tb!$B$1:$B$65536,$C96,[1]tb!$K$1:$K$65536)</f>
        <v>100</v>
      </c>
      <c r="H96" s="182">
        <f>+SUMIF([1]tb!$B$1:$B$65536,$C96,[1]tb!$M$1:$M$65536)</f>
        <v>100</v>
      </c>
      <c r="I96" s="182">
        <f>+SUMIF([1]tb!$B$1:$B$65536,$C96,[1]tb!$O$1:$O$65536)</f>
        <v>100</v>
      </c>
      <c r="J96" s="182">
        <f>+SUMIF([1]tb!$B$1:$B$65536,$C96,[1]tb!$Q$1:$Q$65536)</f>
        <v>100</v>
      </c>
      <c r="K96" s="182">
        <f>+SUMIF([1]tb!$B$1:$B$65536,$C96,[1]tb!$S$1:$S$65536)</f>
        <v>100</v>
      </c>
      <c r="L96" s="182">
        <f>+SUMIF([1]tb!$B$1:$B$65536,$C96,[1]tb!$U$1:$U$65536)</f>
        <v>100</v>
      </c>
      <c r="M96" s="182">
        <f>+SUMIF([1]tb!$B$1:$B$65536,$C96,[1]tb!$W$1:$W$65536)</f>
        <v>100</v>
      </c>
      <c r="N96" s="182">
        <f>+SUMIF([1]tb!$B$1:$B$65536,$C96,[1]tb!$Y$1:$Y$65536)</f>
        <v>100</v>
      </c>
      <c r="O96" s="182">
        <f>+SUMIF([1]tb!$B$1:$B$65536,$C96,[1]tb!$AA$1:$AA$65536)</f>
        <v>100</v>
      </c>
      <c r="P96" s="182">
        <f t="shared" si="6"/>
        <v>100</v>
      </c>
    </row>
    <row r="97" spans="2:16" hidden="1">
      <c r="B97" s="193" t="s">
        <v>400</v>
      </c>
      <c r="C97" s="188" t="s">
        <v>178</v>
      </c>
      <c r="D97" s="182">
        <f>+SUMIF([1]tb!$B$1:$B$65536,$C97,[1]tb!$E$1:$E$65536)</f>
        <v>0</v>
      </c>
      <c r="E97" s="182">
        <f>+SUMIF([1]tb!$B$1:$B$65536,$C97,[1]tb!$G$1:$G$65536)</f>
        <v>0</v>
      </c>
      <c r="F97" s="182">
        <f>+SUMIF([1]tb!$B$1:$B$65536,$C97,[1]tb!$I$1:$I$65536)</f>
        <v>0</v>
      </c>
      <c r="G97" s="182">
        <f>+SUMIF([1]tb!$B$1:$B$65536,$C97,[1]tb!$K$1:$K$65536)</f>
        <v>0</v>
      </c>
      <c r="H97" s="182">
        <f>+SUMIF([1]tb!$B$1:$B$65536,$C97,[1]tb!$M$1:$M$65536)</f>
        <v>0</v>
      </c>
      <c r="I97" s="182">
        <f>+SUMIF([1]tb!$B$1:$B$65536,$C97,[1]tb!$O$1:$O$65536)</f>
        <v>0</v>
      </c>
      <c r="J97" s="182">
        <f>+SUMIF([1]tb!$B$1:$B$65536,$C97,[1]tb!$Q$1:$Q$65536)</f>
        <v>0</v>
      </c>
      <c r="K97" s="182">
        <f>+SUMIF([1]tb!$B$1:$B$65536,$C97,[1]tb!$S$1:$S$65536)</f>
        <v>0</v>
      </c>
      <c r="L97" s="182">
        <f>+SUMIF([1]tb!$B$1:$B$65536,$C97,[1]tb!$U$1:$U$65536)</f>
        <v>0</v>
      </c>
      <c r="M97" s="182">
        <f>+SUMIF([1]tb!$B$1:$B$65536,$C97,[1]tb!$W$1:$W$65536)</f>
        <v>0</v>
      </c>
      <c r="N97" s="182">
        <f>+SUMIF([1]tb!$B$1:$B$65536,$C97,[1]tb!$Y$1:$Y$65536)</f>
        <v>0</v>
      </c>
      <c r="O97" s="182">
        <f>+SUMIF([1]tb!$B$1:$B$65536,$C97,[1]tb!$AA$1:$AA$65536)</f>
        <v>0</v>
      </c>
      <c r="P97" s="182">
        <f t="shared" si="6"/>
        <v>0</v>
      </c>
    </row>
    <row r="98" spans="2:16" hidden="1">
      <c r="B98" s="193" t="s">
        <v>401</v>
      </c>
      <c r="C98" s="188" t="s">
        <v>179</v>
      </c>
      <c r="D98" s="182">
        <f>+SUMIF([1]tb!$B$1:$B$65536,$C98,[1]tb!$E$1:$E$65536)</f>
        <v>0</v>
      </c>
      <c r="E98" s="182">
        <f>+SUMIF([1]tb!$B$1:$B$65536,$C98,[1]tb!$G$1:$G$65536)</f>
        <v>0</v>
      </c>
      <c r="F98" s="182">
        <f>+SUMIF([1]tb!$B$1:$B$65536,$C98,[1]tb!$I$1:$I$65536)</f>
        <v>0</v>
      </c>
      <c r="G98" s="182">
        <f>+SUMIF([1]tb!$B$1:$B$65536,$C98,[1]tb!$K$1:$K$65536)</f>
        <v>0</v>
      </c>
      <c r="H98" s="182">
        <f>+SUMIF([1]tb!$B$1:$B$65536,$C98,[1]tb!$M$1:$M$65536)</f>
        <v>0</v>
      </c>
      <c r="I98" s="182">
        <f>+SUMIF([1]tb!$B$1:$B$65536,$C98,[1]tb!$O$1:$O$65536)</f>
        <v>0</v>
      </c>
      <c r="J98" s="182">
        <f>+SUMIF([1]tb!$B$1:$B$65536,$C98,[1]tb!$Q$1:$Q$65536)</f>
        <v>0</v>
      </c>
      <c r="K98" s="182">
        <f>+SUMIF([1]tb!$B$1:$B$65536,$C98,[1]tb!$S$1:$S$65536)</f>
        <v>0</v>
      </c>
      <c r="L98" s="182">
        <f>+SUMIF([1]tb!$B$1:$B$65536,$C98,[1]tb!$U$1:$U$65536)</f>
        <v>0</v>
      </c>
      <c r="M98" s="182">
        <f>+SUMIF([1]tb!$B$1:$B$65536,$C98,[1]tb!$W$1:$W$65536)</f>
        <v>0</v>
      </c>
      <c r="N98" s="182">
        <f>+SUMIF([1]tb!$B$1:$B$65536,$C98,[1]tb!$Y$1:$Y$65536)</f>
        <v>0</v>
      </c>
      <c r="O98" s="182">
        <f>+SUMIF([1]tb!$B$1:$B$65536,$C98,[1]tb!$AA$1:$AA$65536)</f>
        <v>0</v>
      </c>
      <c r="P98" s="182">
        <f t="shared" si="6"/>
        <v>0</v>
      </c>
    </row>
    <row r="99" spans="2:16">
      <c r="B99" s="193" t="s">
        <v>402</v>
      </c>
      <c r="C99" s="188" t="s">
        <v>180</v>
      </c>
      <c r="D99" s="182">
        <f>+SUMIF([1]tb!$B$1:$B$65536,$C99,[1]tb!$E$1:$E$65536)</f>
        <v>0</v>
      </c>
      <c r="E99" s="182">
        <f>+SUMIF([1]tb!$B$1:$B$65536,$C99,[1]tb!$G$1:$G$65536)</f>
        <v>157260.6</v>
      </c>
      <c r="F99" s="182">
        <f>+SUMIF([1]tb!$B$1:$B$65536,$C99,[1]tb!$I$1:$I$65536)</f>
        <v>337367.66000000003</v>
      </c>
      <c r="G99" s="182">
        <f>+SUMIF([1]tb!$B$1:$B$65536,$C99,[1]tb!$K$1:$K$65536)</f>
        <v>337367.66000000003</v>
      </c>
      <c r="H99" s="182">
        <f>+SUMIF([1]tb!$B$1:$B$65536,$C99,[1]tb!$M$1:$M$65536)</f>
        <v>337367.66000000003</v>
      </c>
      <c r="I99" s="182">
        <f>+SUMIF([1]tb!$B$1:$B$65536,$C99,[1]tb!$O$1:$O$65536)</f>
        <v>337367.66000000003</v>
      </c>
      <c r="J99" s="182">
        <f>+SUMIF([1]tb!$B$1:$B$65536,$C99,[1]tb!$Q$1:$Q$65536)</f>
        <v>337367.66000000003</v>
      </c>
      <c r="K99" s="182">
        <f>+SUMIF([1]tb!$B$1:$B$65536,$C99,[1]tb!$S$1:$S$65536)</f>
        <v>337367.66000000003</v>
      </c>
      <c r="L99" s="182">
        <f>+SUMIF([1]tb!$B$1:$B$65536,$C99,[1]tb!$U$1:$U$65536)</f>
        <v>337367.66000000003</v>
      </c>
      <c r="M99" s="182">
        <f>+SUMIF([1]tb!$B$1:$B$65536,$C99,[1]tb!$W$1:$W$65536)</f>
        <v>337367.66000000003</v>
      </c>
      <c r="N99" s="182">
        <f>+SUMIF([1]tb!$B$1:$B$65536,$C99,[1]tb!$Y$1:$Y$65536)</f>
        <v>337367.66000000003</v>
      </c>
      <c r="O99" s="182">
        <f>+SUMIF([1]tb!$B$1:$B$65536,$C99,[1]tb!$AA$1:$AA$65536)</f>
        <v>337367.66000000003</v>
      </c>
      <c r="P99" s="182">
        <f t="shared" si="6"/>
        <v>337367.66000000003</v>
      </c>
    </row>
    <row r="100" spans="2:16">
      <c r="B100" s="193" t="s">
        <v>403</v>
      </c>
      <c r="C100" s="188" t="s">
        <v>181</v>
      </c>
      <c r="D100" s="182">
        <f>+SUMIF([1]tb!$B$1:$B$65536,$C100,[1]tb!$E$1:$E$65536)</f>
        <v>0</v>
      </c>
      <c r="E100" s="182">
        <f>+SUMIF([1]tb!$B$1:$B$65536,$C100,[1]tb!$G$1:$G$65536)</f>
        <v>34797.51</v>
      </c>
      <c r="F100" s="182">
        <f>+SUMIF([1]tb!$B$1:$B$65536,$C100,[1]tb!$I$1:$I$65536)</f>
        <v>59963.48</v>
      </c>
      <c r="G100" s="182">
        <f>+SUMIF([1]tb!$B$1:$B$65536,$C100,[1]tb!$K$1:$K$65536)</f>
        <v>59963.48</v>
      </c>
      <c r="H100" s="182">
        <f>+SUMIF([1]tb!$B$1:$B$65536,$C100,[1]tb!$M$1:$M$65536)</f>
        <v>59963.48</v>
      </c>
      <c r="I100" s="182">
        <f>+SUMIF([1]tb!$B$1:$B$65536,$C100,[1]tb!$O$1:$O$65536)</f>
        <v>59963.48</v>
      </c>
      <c r="J100" s="182">
        <f>+SUMIF([1]tb!$B$1:$B$65536,$C100,[1]tb!$Q$1:$Q$65536)</f>
        <v>59963.48</v>
      </c>
      <c r="K100" s="182">
        <f>+SUMIF([1]tb!$B$1:$B$65536,$C100,[1]tb!$S$1:$S$65536)</f>
        <v>59963.48</v>
      </c>
      <c r="L100" s="182">
        <f>+SUMIF([1]tb!$B$1:$B$65536,$C100,[1]tb!$U$1:$U$65536)</f>
        <v>59963.48</v>
      </c>
      <c r="M100" s="182">
        <f>+SUMIF([1]tb!$B$1:$B$65536,$C100,[1]tb!$W$1:$W$65536)</f>
        <v>59963.48</v>
      </c>
      <c r="N100" s="182">
        <f>+SUMIF([1]tb!$B$1:$B$65536,$C100,[1]tb!$Y$1:$Y$65536)</f>
        <v>59963.48</v>
      </c>
      <c r="O100" s="182">
        <f>+SUMIF([1]tb!$B$1:$B$65536,$C100,[1]tb!$AA$1:$AA$65536)</f>
        <v>59963.48</v>
      </c>
      <c r="P100" s="182">
        <f t="shared" si="6"/>
        <v>59963.48</v>
      </c>
    </row>
    <row r="101" spans="2:16" hidden="1">
      <c r="B101" s="193" t="s">
        <v>404</v>
      </c>
      <c r="C101" s="188" t="s">
        <v>182</v>
      </c>
      <c r="D101" s="182">
        <f>+SUMIF([1]tb!$B$1:$B$65536,$C101,[1]tb!$E$1:$E$65536)</f>
        <v>0</v>
      </c>
      <c r="E101" s="182">
        <f>+SUMIF([1]tb!$B$1:$B$65536,$C101,[1]tb!$G$1:$G$65536)</f>
        <v>0</v>
      </c>
      <c r="F101" s="182">
        <f>+SUMIF([1]tb!$B$1:$B$65536,$C101,[1]tb!$I$1:$I$65536)</f>
        <v>0</v>
      </c>
      <c r="G101" s="182">
        <f>+SUMIF([1]tb!$B$1:$B$65536,$C101,[1]tb!$K$1:$K$65536)</f>
        <v>0</v>
      </c>
      <c r="H101" s="182">
        <f>+SUMIF([1]tb!$B$1:$B$65536,$C101,[1]tb!$M$1:$M$65536)</f>
        <v>0</v>
      </c>
      <c r="I101" s="182">
        <f>+SUMIF([1]tb!$B$1:$B$65536,$C101,[1]tb!$O$1:$O$65536)</f>
        <v>0</v>
      </c>
      <c r="J101" s="182">
        <f>+SUMIF([1]tb!$B$1:$B$65536,$C101,[1]tb!$Q$1:$Q$65536)</f>
        <v>0</v>
      </c>
      <c r="K101" s="182">
        <f>+SUMIF([1]tb!$B$1:$B$65536,$C101,[1]tb!$S$1:$S$65536)</f>
        <v>0</v>
      </c>
      <c r="L101" s="182">
        <f>+SUMIF([1]tb!$B$1:$B$65536,$C101,[1]tb!$U$1:$U$65536)</f>
        <v>0</v>
      </c>
      <c r="M101" s="182">
        <f>+SUMIF([1]tb!$B$1:$B$65536,$C101,[1]tb!$W$1:$W$65536)</f>
        <v>0</v>
      </c>
      <c r="N101" s="182">
        <f>+SUMIF([1]tb!$B$1:$B$65536,$C101,[1]tb!$Y$1:$Y$65536)</f>
        <v>0</v>
      </c>
      <c r="O101" s="182">
        <f>+SUMIF([1]tb!$B$1:$B$65536,$C101,[1]tb!$AA$1:$AA$65536)</f>
        <v>0</v>
      </c>
      <c r="P101" s="182">
        <f t="shared" si="6"/>
        <v>0</v>
      </c>
    </row>
    <row r="102" spans="2:16" hidden="1">
      <c r="B102" s="193" t="s">
        <v>405</v>
      </c>
      <c r="C102" s="188" t="s">
        <v>183</v>
      </c>
      <c r="D102" s="182">
        <f>+SUMIF([1]tb!$B$1:$B$65536,$C102,[1]tb!$E$1:$E$65536)</f>
        <v>0</v>
      </c>
      <c r="E102" s="182">
        <f>+SUMIF([1]tb!$B$1:$B$65536,$C102,[1]tb!$G$1:$G$65536)</f>
        <v>0</v>
      </c>
      <c r="F102" s="182">
        <f>+SUMIF([1]tb!$B$1:$B$65536,$C102,[1]tb!$I$1:$I$65536)</f>
        <v>0</v>
      </c>
      <c r="G102" s="182">
        <f>+SUMIF([1]tb!$B$1:$B$65536,$C102,[1]tb!$K$1:$K$65536)</f>
        <v>0</v>
      </c>
      <c r="H102" s="182">
        <f>+SUMIF([1]tb!$B$1:$B$65536,$C102,[1]tb!$M$1:$M$65536)</f>
        <v>0</v>
      </c>
      <c r="I102" s="182">
        <f>+SUMIF([1]tb!$B$1:$B$65536,$C102,[1]tb!$O$1:$O$65536)</f>
        <v>0</v>
      </c>
      <c r="J102" s="182">
        <f>+SUMIF([1]tb!$B$1:$B$65536,$C102,[1]tb!$Q$1:$Q$65536)</f>
        <v>0</v>
      </c>
      <c r="K102" s="182">
        <f>+SUMIF([1]tb!$B$1:$B$65536,$C102,[1]tb!$S$1:$S$65536)</f>
        <v>0</v>
      </c>
      <c r="L102" s="182">
        <f>+SUMIF([1]tb!$B$1:$B$65536,$C102,[1]tb!$U$1:$U$65536)</f>
        <v>0</v>
      </c>
      <c r="M102" s="182">
        <f>+SUMIF([1]tb!$B$1:$B$65536,$C102,[1]tb!$W$1:$W$65536)</f>
        <v>0</v>
      </c>
      <c r="N102" s="182">
        <f>+SUMIF([1]tb!$B$1:$B$65536,$C102,[1]tb!$Y$1:$Y$65536)</f>
        <v>0</v>
      </c>
      <c r="O102" s="182">
        <f>+SUMIF([1]tb!$B$1:$B$65536,$C102,[1]tb!$AA$1:$AA$65536)</f>
        <v>0</v>
      </c>
      <c r="P102" s="182">
        <f t="shared" si="6"/>
        <v>0</v>
      </c>
    </row>
    <row r="103" spans="2:16">
      <c r="B103" s="193" t="s">
        <v>406</v>
      </c>
      <c r="C103" s="188" t="s">
        <v>184</v>
      </c>
      <c r="D103" s="182">
        <f>+SUMIF([1]tb!$B$1:$B$65536,$C103,[1]tb!$E$1:$E$65536)</f>
        <v>0</v>
      </c>
      <c r="E103" s="182">
        <f>+SUMIF([1]tb!$B$1:$B$65536,$C103,[1]tb!$G$1:$G$65536)</f>
        <v>0</v>
      </c>
      <c r="F103" s="182">
        <f>+SUMIF([1]tb!$B$1:$B$65536,$C103,[1]tb!$I$1:$I$65536)</f>
        <v>1768.65</v>
      </c>
      <c r="G103" s="182">
        <f>+SUMIF([1]tb!$B$1:$B$65536,$C103,[1]tb!$K$1:$K$65536)</f>
        <v>1768.65</v>
      </c>
      <c r="H103" s="182">
        <f>+SUMIF([1]tb!$B$1:$B$65536,$C103,[1]tb!$M$1:$M$65536)</f>
        <v>1768.65</v>
      </c>
      <c r="I103" s="182">
        <f>+SUMIF([1]tb!$B$1:$B$65536,$C103,[1]tb!$O$1:$O$65536)</f>
        <v>1768.65</v>
      </c>
      <c r="J103" s="182">
        <f>+SUMIF([1]tb!$B$1:$B$65536,$C103,[1]tb!$Q$1:$Q$65536)</f>
        <v>1768.65</v>
      </c>
      <c r="K103" s="182">
        <f>+SUMIF([1]tb!$B$1:$B$65536,$C103,[1]tb!$S$1:$S$65536)</f>
        <v>1768.65</v>
      </c>
      <c r="L103" s="182">
        <f>+SUMIF([1]tb!$B$1:$B$65536,$C103,[1]tb!$U$1:$U$65536)</f>
        <v>1768.65</v>
      </c>
      <c r="M103" s="182">
        <f>+SUMIF([1]tb!$B$1:$B$65536,$C103,[1]tb!$W$1:$W$65536)</f>
        <v>1768.65</v>
      </c>
      <c r="N103" s="182">
        <f>+SUMIF([1]tb!$B$1:$B$65536,$C103,[1]tb!$Y$1:$Y$65536)</f>
        <v>1768.65</v>
      </c>
      <c r="O103" s="182">
        <f>+SUMIF([1]tb!$B$1:$B$65536,$C103,[1]tb!$AA$1:$AA$65536)</f>
        <v>1768.65</v>
      </c>
      <c r="P103" s="182">
        <f t="shared" si="6"/>
        <v>1768.65</v>
      </c>
    </row>
    <row r="104" spans="2:16">
      <c r="B104" s="193" t="s">
        <v>407</v>
      </c>
      <c r="C104" s="188" t="s">
        <v>185</v>
      </c>
      <c r="D104" s="182">
        <f>+SUMIF([1]tb!$B$1:$B$65536,$C104,[1]tb!$E$1:$E$65536)</f>
        <v>0</v>
      </c>
      <c r="E104" s="182">
        <f>+SUMIF([1]tb!$B$1:$B$65536,$C104,[1]tb!$G$1:$G$65536)</f>
        <v>0</v>
      </c>
      <c r="F104" s="182">
        <f>+SUMIF([1]tb!$B$1:$B$65536,$C104,[1]tb!$I$1:$I$65536)</f>
        <v>0</v>
      </c>
      <c r="G104" s="182">
        <f>+SUMIF([1]tb!$B$1:$B$65536,$C104,[1]tb!$K$1:$K$65536)</f>
        <v>0</v>
      </c>
      <c r="H104" s="182">
        <f>+SUMIF([1]tb!$B$1:$B$65536,$C104,[1]tb!$M$1:$M$65536)</f>
        <v>0</v>
      </c>
      <c r="I104" s="182">
        <f>+SUMIF([1]tb!$B$1:$B$65536,$C104,[1]tb!$O$1:$O$65536)</f>
        <v>0</v>
      </c>
      <c r="J104" s="182">
        <f>+SUMIF([1]tb!$B$1:$B$65536,$C104,[1]tb!$Q$1:$Q$65536)</f>
        <v>0</v>
      </c>
      <c r="K104" s="182">
        <f>+SUMIF([1]tb!$B$1:$B$65536,$C104,[1]tb!$S$1:$S$65536)</f>
        <v>0</v>
      </c>
      <c r="L104" s="182">
        <f>+SUMIF([1]tb!$B$1:$B$65536,$C104,[1]tb!$U$1:$U$65536)</f>
        <v>0</v>
      </c>
      <c r="M104" s="182">
        <f>+SUMIF([1]tb!$B$1:$B$65536,$C104,[1]tb!$W$1:$W$65536)</f>
        <v>0</v>
      </c>
      <c r="N104" s="182">
        <f>+SUMIF([1]tb!$B$1:$B$65536,$C104,[1]tb!$Y$1:$Y$65536)</f>
        <v>0</v>
      </c>
      <c r="O104" s="182">
        <f>+SUMIF([1]tb!$B$1:$B$65536,$C104,[1]tb!$AA$1:$AA$65536)</f>
        <v>0</v>
      </c>
      <c r="P104" s="182">
        <f t="shared" si="6"/>
        <v>0</v>
      </c>
    </row>
    <row r="105" spans="2:16">
      <c r="B105" s="193" t="s">
        <v>408</v>
      </c>
      <c r="C105" s="188" t="s">
        <v>186</v>
      </c>
      <c r="D105" s="182">
        <f>+SUMIF([1]tb!$B$1:$B$65536,$C105,[1]tb!$E$1:$E$65536)</f>
        <v>780</v>
      </c>
      <c r="E105" s="182">
        <f>+SUMIF([1]tb!$B$1:$B$65536,$C105,[1]tb!$G$1:$G$65536)</f>
        <v>1180</v>
      </c>
      <c r="F105" s="182">
        <f>+SUMIF([1]tb!$B$1:$B$65536,$C105,[1]tb!$I$1:$I$65536)</f>
        <v>1630</v>
      </c>
      <c r="G105" s="182">
        <f>+SUMIF([1]tb!$B$1:$B$65536,$C105,[1]tb!$K$1:$K$65536)</f>
        <v>1630</v>
      </c>
      <c r="H105" s="182">
        <f>+SUMIF([1]tb!$B$1:$B$65536,$C105,[1]tb!$M$1:$M$65536)</f>
        <v>1630</v>
      </c>
      <c r="I105" s="182">
        <f>+SUMIF([1]tb!$B$1:$B$65536,$C105,[1]tb!$O$1:$O$65536)</f>
        <v>1630</v>
      </c>
      <c r="J105" s="182">
        <f>+SUMIF([1]tb!$B$1:$B$65536,$C105,[1]tb!$Q$1:$Q$65536)</f>
        <v>1630</v>
      </c>
      <c r="K105" s="182">
        <f>+SUMIF([1]tb!$B$1:$B$65536,$C105,[1]tb!$S$1:$S$65536)</f>
        <v>1630</v>
      </c>
      <c r="L105" s="182">
        <f>+SUMIF([1]tb!$B$1:$B$65536,$C105,[1]tb!$U$1:$U$65536)</f>
        <v>1630</v>
      </c>
      <c r="M105" s="182">
        <f>+SUMIF([1]tb!$B$1:$B$65536,$C105,[1]tb!$W$1:$W$65536)</f>
        <v>1630</v>
      </c>
      <c r="N105" s="182">
        <f>+SUMIF([1]tb!$B$1:$B$65536,$C105,[1]tb!$Y$1:$Y$65536)</f>
        <v>1630</v>
      </c>
      <c r="O105" s="182">
        <f>+SUMIF([1]tb!$B$1:$B$65536,$C105,[1]tb!$AA$1:$AA$65536)</f>
        <v>1630</v>
      </c>
      <c r="P105" s="182">
        <f t="shared" si="6"/>
        <v>1630</v>
      </c>
    </row>
    <row r="106" spans="2:16">
      <c r="B106" s="193" t="s">
        <v>409</v>
      </c>
      <c r="C106" s="188" t="s">
        <v>187</v>
      </c>
      <c r="D106" s="182">
        <f>+SUMIF([1]tb!$B$1:$B$65536,$C106,[1]tb!$E$1:$E$65536)</f>
        <v>750</v>
      </c>
      <c r="E106" s="182">
        <f>+SUMIF([1]tb!$B$1:$B$65536,$C106,[1]tb!$G$1:$G$65536)</f>
        <v>750</v>
      </c>
      <c r="F106" s="182">
        <f>+SUMIF([1]tb!$B$1:$B$65536,$C106,[1]tb!$I$1:$I$65536)</f>
        <v>750</v>
      </c>
      <c r="G106" s="182">
        <f>+SUMIF([1]tb!$B$1:$B$65536,$C106,[1]tb!$K$1:$K$65536)</f>
        <v>750</v>
      </c>
      <c r="H106" s="182">
        <f>+SUMIF([1]tb!$B$1:$B$65536,$C106,[1]tb!$M$1:$M$65536)</f>
        <v>750</v>
      </c>
      <c r="I106" s="182">
        <f>+SUMIF([1]tb!$B$1:$B$65536,$C106,[1]tb!$O$1:$O$65536)</f>
        <v>750</v>
      </c>
      <c r="J106" s="182">
        <f>+SUMIF([1]tb!$B$1:$B$65536,$C106,[1]tb!$Q$1:$Q$65536)</f>
        <v>750</v>
      </c>
      <c r="K106" s="182">
        <f>+SUMIF([1]tb!$B$1:$B$65536,$C106,[1]tb!$S$1:$S$65536)</f>
        <v>750</v>
      </c>
      <c r="L106" s="182">
        <f>+SUMIF([1]tb!$B$1:$B$65536,$C106,[1]tb!$U$1:$U$65536)</f>
        <v>750</v>
      </c>
      <c r="M106" s="182">
        <f>+SUMIF([1]tb!$B$1:$B$65536,$C106,[1]tb!$W$1:$W$65536)</f>
        <v>750</v>
      </c>
      <c r="N106" s="182">
        <f>+SUMIF([1]tb!$B$1:$B$65536,$C106,[1]tb!$Y$1:$Y$65536)</f>
        <v>750</v>
      </c>
      <c r="O106" s="182">
        <f>+SUMIF([1]tb!$B$1:$B$65536,$C106,[1]tb!$AA$1:$AA$65536)</f>
        <v>750</v>
      </c>
      <c r="P106" s="182">
        <f t="shared" si="6"/>
        <v>750</v>
      </c>
    </row>
    <row r="107" spans="2:16" hidden="1">
      <c r="B107" s="193" t="s">
        <v>410</v>
      </c>
      <c r="C107" s="188" t="s">
        <v>188</v>
      </c>
      <c r="D107" s="182">
        <f>+SUMIF([1]tb!$B$1:$B$65536,$C107,[1]tb!$E$1:$E$65536)</f>
        <v>0</v>
      </c>
      <c r="E107" s="182">
        <f>+SUMIF([1]tb!$B$1:$B$65536,$C107,[1]tb!$G$1:$G$65536)</f>
        <v>0</v>
      </c>
      <c r="F107" s="182">
        <f>+SUMIF([1]tb!$B$1:$B$65536,$C107,[1]tb!$I$1:$I$65536)</f>
        <v>0</v>
      </c>
      <c r="G107" s="182">
        <f>+SUMIF([1]tb!$B$1:$B$65536,$C107,[1]tb!$K$1:$K$65536)</f>
        <v>0</v>
      </c>
      <c r="H107" s="182">
        <f>+SUMIF([1]tb!$B$1:$B$65536,$C107,[1]tb!$M$1:$M$65536)</f>
        <v>0</v>
      </c>
      <c r="I107" s="182">
        <f>+SUMIF([1]tb!$B$1:$B$65536,$C107,[1]tb!$O$1:$O$65536)</f>
        <v>0</v>
      </c>
      <c r="J107" s="182">
        <f>+SUMIF([1]tb!$B$1:$B$65536,$C107,[1]tb!$Q$1:$Q$65536)</f>
        <v>0</v>
      </c>
      <c r="K107" s="182">
        <f>+SUMIF([1]tb!$B$1:$B$65536,$C107,[1]tb!$S$1:$S$65536)</f>
        <v>0</v>
      </c>
      <c r="L107" s="182">
        <f>+SUMIF([1]tb!$B$1:$B$65536,$C107,[1]tb!$U$1:$U$65536)</f>
        <v>0</v>
      </c>
      <c r="M107" s="182">
        <f>+SUMIF([1]tb!$B$1:$B$65536,$C107,[1]tb!$W$1:$W$65536)</f>
        <v>0</v>
      </c>
      <c r="N107" s="182">
        <f>+SUMIF([1]tb!$B$1:$B$65536,$C107,[1]tb!$Y$1:$Y$65536)</f>
        <v>0</v>
      </c>
      <c r="O107" s="182">
        <f>+SUMIF([1]tb!$B$1:$B$65536,$C107,[1]tb!$AA$1:$AA$65536)</f>
        <v>0</v>
      </c>
      <c r="P107" s="182">
        <f t="shared" si="6"/>
        <v>0</v>
      </c>
    </row>
    <row r="108" spans="2:16" hidden="1">
      <c r="B108" s="193" t="s">
        <v>411</v>
      </c>
      <c r="C108" s="188" t="s">
        <v>189</v>
      </c>
      <c r="D108" s="182">
        <f>+SUMIF([1]tb!$B$1:$B$65536,$C108,[1]tb!$E$1:$E$65536)</f>
        <v>0</v>
      </c>
      <c r="E108" s="182">
        <f>+SUMIF([1]tb!$B$1:$B$65536,$C108,[1]tb!$G$1:$G$65536)</f>
        <v>0</v>
      </c>
      <c r="F108" s="182">
        <f>+SUMIF([1]tb!$B$1:$B$65536,$C108,[1]tb!$I$1:$I$65536)</f>
        <v>0</v>
      </c>
      <c r="G108" s="182">
        <f>+SUMIF([1]tb!$B$1:$B$65536,$C108,[1]tb!$K$1:$K$65536)</f>
        <v>0</v>
      </c>
      <c r="H108" s="182">
        <f>+SUMIF([1]tb!$B$1:$B$65536,$C108,[1]tb!$M$1:$M$65536)</f>
        <v>0</v>
      </c>
      <c r="I108" s="182">
        <f>+SUMIF([1]tb!$B$1:$B$65536,$C108,[1]tb!$O$1:$O$65536)</f>
        <v>0</v>
      </c>
      <c r="J108" s="182">
        <f>+SUMIF([1]tb!$B$1:$B$65536,$C108,[1]tb!$Q$1:$Q$65536)</f>
        <v>0</v>
      </c>
      <c r="K108" s="182">
        <f>+SUMIF([1]tb!$B$1:$B$65536,$C108,[1]tb!$S$1:$S$65536)</f>
        <v>0</v>
      </c>
      <c r="L108" s="182">
        <f>+SUMIF([1]tb!$B$1:$B$65536,$C108,[1]tb!$U$1:$U$65536)</f>
        <v>0</v>
      </c>
      <c r="M108" s="182">
        <f>+SUMIF([1]tb!$B$1:$B$65536,$C108,[1]tb!$W$1:$W$65536)</f>
        <v>0</v>
      </c>
      <c r="N108" s="182">
        <f>+SUMIF([1]tb!$B$1:$B$65536,$C108,[1]tb!$Y$1:$Y$65536)</f>
        <v>0</v>
      </c>
      <c r="O108" s="182">
        <f>+SUMIF([1]tb!$B$1:$B$65536,$C108,[1]tb!$AA$1:$AA$65536)</f>
        <v>0</v>
      </c>
      <c r="P108" s="182">
        <f t="shared" si="6"/>
        <v>0</v>
      </c>
    </row>
    <row r="109" spans="2:16">
      <c r="B109" s="193" t="s">
        <v>412</v>
      </c>
      <c r="C109" s="188" t="s">
        <v>190</v>
      </c>
      <c r="D109" s="182">
        <f>+SUMIF([1]tb!$B$1:$B$65536,$C109,[1]tb!$E$1:$E$65536)</f>
        <v>0</v>
      </c>
      <c r="E109" s="182">
        <f>+SUMIF([1]tb!$B$1:$B$65536,$C109,[1]tb!$G$1:$G$65536)</f>
        <v>20881</v>
      </c>
      <c r="F109" s="182">
        <f>+SUMIF([1]tb!$B$1:$B$65536,$C109,[1]tb!$I$1:$I$65536)</f>
        <v>21742.75</v>
      </c>
      <c r="G109" s="182">
        <f>+SUMIF([1]tb!$B$1:$B$65536,$C109,[1]tb!$K$1:$K$65536)</f>
        <v>21742.75</v>
      </c>
      <c r="H109" s="182">
        <f>+SUMIF([1]tb!$B$1:$B$65536,$C109,[1]tb!$M$1:$M$65536)</f>
        <v>21742.75</v>
      </c>
      <c r="I109" s="182">
        <f>+SUMIF([1]tb!$B$1:$B$65536,$C109,[1]tb!$O$1:$O$65536)</f>
        <v>21742.75</v>
      </c>
      <c r="J109" s="182">
        <f>+SUMIF([1]tb!$B$1:$B$65536,$C109,[1]tb!$Q$1:$Q$65536)</f>
        <v>21742.75</v>
      </c>
      <c r="K109" s="182">
        <f>+SUMIF([1]tb!$B$1:$B$65536,$C109,[1]tb!$S$1:$S$65536)</f>
        <v>21742.75</v>
      </c>
      <c r="L109" s="182">
        <f>+SUMIF([1]tb!$B$1:$B$65536,$C109,[1]tb!$U$1:$U$65536)</f>
        <v>21742.75</v>
      </c>
      <c r="M109" s="182">
        <f>+SUMIF([1]tb!$B$1:$B$65536,$C109,[1]tb!$W$1:$W$65536)</f>
        <v>21742.75</v>
      </c>
      <c r="N109" s="182">
        <f>+SUMIF([1]tb!$B$1:$B$65536,$C109,[1]tb!$Y$1:$Y$65536)</f>
        <v>21742.75</v>
      </c>
      <c r="O109" s="182">
        <f>+SUMIF([1]tb!$B$1:$B$65536,$C109,[1]tb!$AA$1:$AA$65536)</f>
        <v>21742.75</v>
      </c>
      <c r="P109" s="182">
        <f t="shared" si="6"/>
        <v>21742.75</v>
      </c>
    </row>
    <row r="110" spans="2:16" hidden="1">
      <c r="B110" s="193" t="s">
        <v>414</v>
      </c>
      <c r="C110" s="188" t="s">
        <v>192</v>
      </c>
      <c r="D110" s="182">
        <f>+SUMIF([1]tb!$B$1:$B$65536,$C110,[1]tb!$E$1:$E$65536)</f>
        <v>0</v>
      </c>
      <c r="E110" s="182">
        <f>+SUMIF([1]tb!$B$1:$B$65536,$C110,[1]tb!$G$1:$G$65536)</f>
        <v>0</v>
      </c>
      <c r="F110" s="182">
        <f>+SUMIF([1]tb!$B$1:$B$65536,$C110,[1]tb!$I$1:$I$65536)</f>
        <v>0</v>
      </c>
      <c r="G110" s="182">
        <f>+SUMIF([1]tb!$B$1:$B$65536,$C110,[1]tb!$K$1:$K$65536)</f>
        <v>0</v>
      </c>
      <c r="H110" s="182">
        <f>+SUMIF([1]tb!$B$1:$B$65536,$C110,[1]tb!$M$1:$M$65536)</f>
        <v>0</v>
      </c>
      <c r="I110" s="182">
        <f>+SUMIF([1]tb!$B$1:$B$65536,$C110,[1]tb!$O$1:$O$65536)</f>
        <v>0</v>
      </c>
      <c r="J110" s="182">
        <f>+SUMIF([1]tb!$B$1:$B$65536,$C110,[1]tb!$Q$1:$Q$65536)</f>
        <v>0</v>
      </c>
      <c r="K110" s="182">
        <f>+SUMIF([1]tb!$B$1:$B$65536,$C110,[1]tb!$S$1:$S$65536)</f>
        <v>0</v>
      </c>
      <c r="L110" s="182">
        <f>+SUMIF([1]tb!$B$1:$B$65536,$C110,[1]tb!$U$1:$U$65536)</f>
        <v>0</v>
      </c>
      <c r="M110" s="182">
        <f>+SUMIF([1]tb!$B$1:$B$65536,$C110,[1]tb!$W$1:$W$65536)</f>
        <v>0</v>
      </c>
      <c r="N110" s="182">
        <f>+SUMIF([1]tb!$B$1:$B$65536,$C110,[1]tb!$Y$1:$Y$65536)</f>
        <v>0</v>
      </c>
      <c r="O110" s="182">
        <f>+SUMIF([1]tb!$B$1:$B$65536,$C110,[1]tb!$AA$1:$AA$65536)</f>
        <v>0</v>
      </c>
      <c r="P110" s="182">
        <f t="shared" si="6"/>
        <v>0</v>
      </c>
    </row>
    <row r="111" spans="2:16" hidden="1">
      <c r="B111" s="193" t="s">
        <v>415</v>
      </c>
      <c r="C111" s="188" t="s">
        <v>193</v>
      </c>
      <c r="D111" s="182">
        <f>+SUMIF([1]tb!$B$1:$B$65536,$C111,[1]tb!$E$1:$E$65536)</f>
        <v>0</v>
      </c>
      <c r="E111" s="182">
        <f>+SUMIF([1]tb!$B$1:$B$65536,$C111,[1]tb!$G$1:$G$65536)</f>
        <v>0</v>
      </c>
      <c r="F111" s="182">
        <f>+SUMIF([1]tb!$B$1:$B$65536,$C111,[1]tb!$I$1:$I$65536)</f>
        <v>0</v>
      </c>
      <c r="G111" s="182">
        <f>+SUMIF([1]tb!$B$1:$B$65536,$C111,[1]tb!$K$1:$K$65536)</f>
        <v>0</v>
      </c>
      <c r="H111" s="182">
        <f>+SUMIF([1]tb!$B$1:$B$65536,$C111,[1]tb!$M$1:$M$65536)</f>
        <v>0</v>
      </c>
      <c r="I111" s="182">
        <f>+SUMIF([1]tb!$B$1:$B$65536,$C111,[1]tb!$O$1:$O$65536)</f>
        <v>0</v>
      </c>
      <c r="J111" s="182">
        <f>+SUMIF([1]tb!$B$1:$B$65536,$C111,[1]tb!$Q$1:$Q$65536)</f>
        <v>0</v>
      </c>
      <c r="K111" s="182">
        <f>+SUMIF([1]tb!$B$1:$B$65536,$C111,[1]tb!$S$1:$S$65536)</f>
        <v>0</v>
      </c>
      <c r="L111" s="182">
        <f>+SUMIF([1]tb!$B$1:$B$65536,$C111,[1]tb!$U$1:$U$65536)</f>
        <v>0</v>
      </c>
      <c r="M111" s="182">
        <f>+SUMIF([1]tb!$B$1:$B$65536,$C111,[1]tb!$W$1:$W$65536)</f>
        <v>0</v>
      </c>
      <c r="N111" s="182">
        <f>+SUMIF([1]tb!$B$1:$B$65536,$C111,[1]tb!$Y$1:$Y$65536)</f>
        <v>0</v>
      </c>
      <c r="O111" s="182">
        <f>+SUMIF([1]tb!$B$1:$B$65536,$C111,[1]tb!$AA$1:$AA$65536)</f>
        <v>0</v>
      </c>
      <c r="P111" s="182">
        <f t="shared" si="6"/>
        <v>0</v>
      </c>
    </row>
    <row r="112" spans="2:16" hidden="1">
      <c r="B112" s="193" t="s">
        <v>416</v>
      </c>
      <c r="C112" s="188" t="s">
        <v>194</v>
      </c>
      <c r="D112" s="182">
        <f>+SUMIF([1]tb!$B$1:$B$65536,$C112,[1]tb!$E$1:$E$65536)</f>
        <v>0</v>
      </c>
      <c r="E112" s="182">
        <f>+SUMIF([1]tb!$B$1:$B$65536,$C112,[1]tb!$G$1:$G$65536)</f>
        <v>0</v>
      </c>
      <c r="F112" s="182">
        <f>+SUMIF([1]tb!$B$1:$B$65536,$C112,[1]tb!$I$1:$I$65536)</f>
        <v>0</v>
      </c>
      <c r="G112" s="182">
        <f>+SUMIF([1]tb!$B$1:$B$65536,$C112,[1]tb!$K$1:$K$65536)</f>
        <v>0</v>
      </c>
      <c r="H112" s="182">
        <f>+SUMIF([1]tb!$B$1:$B$65536,$C112,[1]tb!$M$1:$M$65536)</f>
        <v>0</v>
      </c>
      <c r="I112" s="182">
        <f>+SUMIF([1]tb!$B$1:$B$65536,$C112,[1]tb!$O$1:$O$65536)</f>
        <v>0</v>
      </c>
      <c r="J112" s="182">
        <f>+SUMIF([1]tb!$B$1:$B$65536,$C112,[1]tb!$Q$1:$Q$65536)</f>
        <v>0</v>
      </c>
      <c r="K112" s="182">
        <f>+SUMIF([1]tb!$B$1:$B$65536,$C112,[1]tb!$S$1:$S$65536)</f>
        <v>0</v>
      </c>
      <c r="L112" s="182">
        <f>+SUMIF([1]tb!$B$1:$B$65536,$C112,[1]tb!$U$1:$U$65536)</f>
        <v>0</v>
      </c>
      <c r="M112" s="182">
        <f>+SUMIF([1]tb!$B$1:$B$65536,$C112,[1]tb!$W$1:$W$65536)</f>
        <v>0</v>
      </c>
      <c r="N112" s="182">
        <f>+SUMIF([1]tb!$B$1:$B$65536,$C112,[1]tb!$Y$1:$Y$65536)</f>
        <v>0</v>
      </c>
      <c r="O112" s="182">
        <f>+SUMIF([1]tb!$B$1:$B$65536,$C112,[1]tb!$AA$1:$AA$65536)</f>
        <v>0</v>
      </c>
      <c r="P112" s="182">
        <f t="shared" si="6"/>
        <v>0</v>
      </c>
    </row>
    <row r="113" spans="2:16" hidden="1">
      <c r="B113" s="193" t="s">
        <v>419</v>
      </c>
      <c r="C113" s="188" t="s">
        <v>197</v>
      </c>
      <c r="D113" s="182">
        <f>+SUMIF([1]tb!$B$1:$B$65536,$C113,[1]tb!$E$1:$E$65536)</f>
        <v>0</v>
      </c>
      <c r="E113" s="182">
        <f>+SUMIF([1]tb!$B$1:$B$65536,$C113,[1]tb!$G$1:$G$65536)</f>
        <v>0</v>
      </c>
      <c r="F113" s="182">
        <f>+SUMIF([1]tb!$B$1:$B$65536,$C113,[1]tb!$I$1:$I$65536)</f>
        <v>0</v>
      </c>
      <c r="G113" s="182">
        <f>+SUMIF([1]tb!$B$1:$B$65536,$C113,[1]tb!$K$1:$K$65536)</f>
        <v>0</v>
      </c>
      <c r="H113" s="182">
        <f>+SUMIF([1]tb!$B$1:$B$65536,$C113,[1]tb!$M$1:$M$65536)</f>
        <v>0</v>
      </c>
      <c r="I113" s="182">
        <f>+SUMIF([1]tb!$B$1:$B$65536,$C113,[1]tb!$O$1:$O$65536)</f>
        <v>0</v>
      </c>
      <c r="J113" s="182">
        <f>+SUMIF([1]tb!$B$1:$B$65536,$C113,[1]tb!$Q$1:$Q$65536)</f>
        <v>0</v>
      </c>
      <c r="K113" s="182">
        <f>+SUMIF([1]tb!$B$1:$B$65536,$C113,[1]tb!$S$1:$S$65536)</f>
        <v>0</v>
      </c>
      <c r="L113" s="182">
        <f>+SUMIF([1]tb!$B$1:$B$65536,$C113,[1]tb!$U$1:$U$65536)</f>
        <v>0</v>
      </c>
      <c r="M113" s="182">
        <f>+SUMIF([1]tb!$B$1:$B$65536,$C113,[1]tb!$W$1:$W$65536)</f>
        <v>0</v>
      </c>
      <c r="N113" s="182">
        <f>+SUMIF([1]tb!$B$1:$B$65536,$C113,[1]tb!$Y$1:$Y$65536)</f>
        <v>0</v>
      </c>
      <c r="O113" s="182">
        <f>+SUMIF([1]tb!$B$1:$B$65536,$C113,[1]tb!$AA$1:$AA$65536)</f>
        <v>0</v>
      </c>
      <c r="P113" s="182">
        <f t="shared" si="6"/>
        <v>0</v>
      </c>
    </row>
    <row r="114" spans="2:16">
      <c r="B114" s="193" t="s">
        <v>420</v>
      </c>
      <c r="C114" s="188" t="s">
        <v>198</v>
      </c>
      <c r="D114" s="182">
        <f>+SUMIF([1]tb!$B$1:$B$65536,$C114,[1]tb!$E$1:$E$65536)</f>
        <v>2428.61</v>
      </c>
      <c r="E114" s="182">
        <f>+SUMIF([1]tb!$B$1:$B$65536,$C114,[1]tb!$G$1:$G$65536)</f>
        <v>5129.0200000000004</v>
      </c>
      <c r="F114" s="182">
        <f>+SUMIF([1]tb!$B$1:$B$65536,$C114,[1]tb!$I$1:$I$65536)</f>
        <v>8187.5400000000009</v>
      </c>
      <c r="G114" s="182">
        <f>+SUMIF([1]tb!$B$1:$B$65536,$C114,[1]tb!$K$1:$K$65536)</f>
        <v>8187.5400000000009</v>
      </c>
      <c r="H114" s="182">
        <f>+SUMIF([1]tb!$B$1:$B$65536,$C114,[1]tb!$M$1:$M$65536)</f>
        <v>8187.5400000000009</v>
      </c>
      <c r="I114" s="182">
        <f>+SUMIF([1]tb!$B$1:$B$65536,$C114,[1]tb!$O$1:$O$65536)</f>
        <v>8187.5400000000009</v>
      </c>
      <c r="J114" s="182">
        <f>+SUMIF([1]tb!$B$1:$B$65536,$C114,[1]tb!$Q$1:$Q$65536)</f>
        <v>8187.5400000000009</v>
      </c>
      <c r="K114" s="182">
        <f>+SUMIF([1]tb!$B$1:$B$65536,$C114,[1]tb!$S$1:$S$65536)</f>
        <v>8187.5400000000009</v>
      </c>
      <c r="L114" s="182">
        <f>+SUMIF([1]tb!$B$1:$B$65536,$C114,[1]tb!$U$1:$U$65536)</f>
        <v>8187.5400000000009</v>
      </c>
      <c r="M114" s="182">
        <f>+SUMIF([1]tb!$B$1:$B$65536,$C114,[1]tb!$W$1:$W$65536)</f>
        <v>8187.5400000000009</v>
      </c>
      <c r="N114" s="182">
        <f>+SUMIF([1]tb!$B$1:$B$65536,$C114,[1]tb!$Y$1:$Y$65536)</f>
        <v>8187.5400000000009</v>
      </c>
      <c r="O114" s="182">
        <f>+SUMIF([1]tb!$B$1:$B$65536,$C114,[1]tb!$AA$1:$AA$65536)</f>
        <v>8187.5400000000009</v>
      </c>
      <c r="P114" s="182">
        <f t="shared" si="6"/>
        <v>8187.5400000000009</v>
      </c>
    </row>
    <row r="115" spans="2:16">
      <c r="B115" s="193" t="s">
        <v>421</v>
      </c>
      <c r="C115" s="188" t="s">
        <v>199</v>
      </c>
      <c r="D115" s="182">
        <f>+SUMIF([1]tb!$B$1:$B$65536,$C115,[1]tb!$E$1:$E$65536)</f>
        <v>5030.03</v>
      </c>
      <c r="E115" s="182">
        <f>+SUMIF([1]tb!$B$1:$B$65536,$C115,[1]tb!$G$1:$G$65536)</f>
        <v>10060.06</v>
      </c>
      <c r="F115" s="182">
        <f>+SUMIF([1]tb!$B$1:$B$65536,$C115,[1]tb!$I$1:$I$65536)</f>
        <v>15090.09</v>
      </c>
      <c r="G115" s="182">
        <f>+SUMIF([1]tb!$B$1:$B$65536,$C115,[1]tb!$K$1:$K$65536)</f>
        <v>15090.09</v>
      </c>
      <c r="H115" s="182">
        <f>+SUMIF([1]tb!$B$1:$B$65536,$C115,[1]tb!$M$1:$M$65536)</f>
        <v>15090.09</v>
      </c>
      <c r="I115" s="182">
        <f>+SUMIF([1]tb!$B$1:$B$65536,$C115,[1]tb!$O$1:$O$65536)</f>
        <v>15090.09</v>
      </c>
      <c r="J115" s="182">
        <f>+SUMIF([1]tb!$B$1:$B$65536,$C115,[1]tb!$Q$1:$Q$65536)</f>
        <v>15090.09</v>
      </c>
      <c r="K115" s="182">
        <f>+SUMIF([1]tb!$B$1:$B$65536,$C115,[1]tb!$S$1:$S$65536)</f>
        <v>15090.09</v>
      </c>
      <c r="L115" s="182">
        <f>+SUMIF([1]tb!$B$1:$B$65536,$C115,[1]tb!$U$1:$U$65536)</f>
        <v>15090.09</v>
      </c>
      <c r="M115" s="182">
        <f>+SUMIF([1]tb!$B$1:$B$65536,$C115,[1]tb!$W$1:$W$65536)</f>
        <v>15090.09</v>
      </c>
      <c r="N115" s="182">
        <f>+SUMIF([1]tb!$B$1:$B$65536,$C115,[1]tb!$Y$1:$Y$65536)</f>
        <v>15090.09</v>
      </c>
      <c r="O115" s="182">
        <f>+SUMIF([1]tb!$B$1:$B$65536,$C115,[1]tb!$AA$1:$AA$65536)</f>
        <v>15090.09</v>
      </c>
      <c r="P115" s="182">
        <f t="shared" si="6"/>
        <v>15090.09</v>
      </c>
    </row>
    <row r="116" spans="2:16" hidden="1">
      <c r="B116" s="193" t="s">
        <v>423</v>
      </c>
      <c r="C116" s="188" t="s">
        <v>201</v>
      </c>
      <c r="D116" s="182">
        <f>+SUMIF([1]tb!$B$1:$B$65536,$C116,[1]tb!$E$1:$E$65536)</f>
        <v>0</v>
      </c>
      <c r="E116" s="182">
        <f>+SUMIF([1]tb!$B$1:$B$65536,$C116,[1]tb!$G$1:$G$65536)</f>
        <v>0</v>
      </c>
      <c r="F116" s="182">
        <f>+SUMIF([1]tb!$B$1:$B$65536,$C116,[1]tb!$I$1:$I$65536)</f>
        <v>0</v>
      </c>
      <c r="G116" s="182">
        <f>+SUMIF([1]tb!$B$1:$B$65536,$C116,[1]tb!$K$1:$K$65536)</f>
        <v>0</v>
      </c>
      <c r="H116" s="182">
        <f>+SUMIF([1]tb!$B$1:$B$65536,$C116,[1]tb!$M$1:$M$65536)</f>
        <v>0</v>
      </c>
      <c r="I116" s="182">
        <f>+SUMIF([1]tb!$B$1:$B$65536,$C116,[1]tb!$O$1:$O$65536)</f>
        <v>0</v>
      </c>
      <c r="J116" s="182">
        <f>+SUMIF([1]tb!$B$1:$B$65536,$C116,[1]tb!$Q$1:$Q$65536)</f>
        <v>0</v>
      </c>
      <c r="K116" s="182">
        <f>+SUMIF([1]tb!$B$1:$B$65536,$C116,[1]tb!$S$1:$S$65536)</f>
        <v>0</v>
      </c>
      <c r="L116" s="182">
        <f>+SUMIF([1]tb!$B$1:$B$65536,$C116,[1]tb!$U$1:$U$65536)</f>
        <v>0</v>
      </c>
      <c r="M116" s="182">
        <f>+SUMIF([1]tb!$B$1:$B$65536,$C116,[1]tb!$W$1:$W$65536)</f>
        <v>0</v>
      </c>
      <c r="N116" s="182">
        <f>+SUMIF([1]tb!$B$1:$B$65536,$C116,[1]tb!$Y$1:$Y$65536)</f>
        <v>0</v>
      </c>
      <c r="O116" s="182">
        <f>+SUMIF([1]tb!$B$1:$B$65536,$C116,[1]tb!$AA$1:$AA$65536)</f>
        <v>0</v>
      </c>
      <c r="P116" s="182">
        <f t="shared" si="6"/>
        <v>0</v>
      </c>
    </row>
    <row r="117" spans="2:16" hidden="1">
      <c r="B117" s="193" t="s">
        <v>424</v>
      </c>
      <c r="C117" s="188" t="s">
        <v>202</v>
      </c>
      <c r="D117" s="182">
        <f>+SUMIF([1]tb!$B$1:$B$65536,$C117,[1]tb!$E$1:$E$65536)</f>
        <v>0</v>
      </c>
      <c r="E117" s="182">
        <f>+SUMIF([1]tb!$B$1:$B$65536,$C117,[1]tb!$G$1:$G$65536)</f>
        <v>0</v>
      </c>
      <c r="F117" s="182">
        <f>+SUMIF([1]tb!$B$1:$B$65536,$C117,[1]tb!$I$1:$I$65536)</f>
        <v>0</v>
      </c>
      <c r="G117" s="182">
        <f>+SUMIF([1]tb!$B$1:$B$65536,$C117,[1]tb!$K$1:$K$65536)</f>
        <v>0</v>
      </c>
      <c r="H117" s="182">
        <f>+SUMIF([1]tb!$B$1:$B$65536,$C117,[1]tb!$M$1:$M$65536)</f>
        <v>0</v>
      </c>
      <c r="I117" s="182">
        <f>+SUMIF([1]tb!$B$1:$B$65536,$C117,[1]tb!$O$1:$O$65536)</f>
        <v>0</v>
      </c>
      <c r="J117" s="182">
        <f>+SUMIF([1]tb!$B$1:$B$65536,$C117,[1]tb!$Q$1:$Q$65536)</f>
        <v>0</v>
      </c>
      <c r="K117" s="182">
        <f>+SUMIF([1]tb!$B$1:$B$65536,$C117,[1]tb!$S$1:$S$65536)</f>
        <v>0</v>
      </c>
      <c r="L117" s="182">
        <f>+SUMIF([1]tb!$B$1:$B$65536,$C117,[1]tb!$U$1:$U$65536)</f>
        <v>0</v>
      </c>
      <c r="M117" s="182">
        <f>+SUMIF([1]tb!$B$1:$B$65536,$C117,[1]tb!$W$1:$W$65536)</f>
        <v>0</v>
      </c>
      <c r="N117" s="182">
        <f>+SUMIF([1]tb!$B$1:$B$65536,$C117,[1]tb!$Y$1:$Y$65536)</f>
        <v>0</v>
      </c>
      <c r="O117" s="182">
        <f>+SUMIF([1]tb!$B$1:$B$65536,$C117,[1]tb!$AA$1:$AA$65536)</f>
        <v>0</v>
      </c>
      <c r="P117" s="182">
        <f t="shared" si="6"/>
        <v>0</v>
      </c>
    </row>
    <row r="118" spans="2:16">
      <c r="B118" s="193" t="s">
        <v>425</v>
      </c>
      <c r="C118" s="188" t="s">
        <v>203</v>
      </c>
      <c r="D118" s="182">
        <f>+SUMIF([1]tb!$B$1:$B$65536,$C118,[1]tb!$E$1:$E$65536)</f>
        <v>0</v>
      </c>
      <c r="E118" s="182">
        <f>+SUMIF([1]tb!$B$1:$B$65536,$C118,[1]tb!$G$1:$G$65536)</f>
        <v>78350</v>
      </c>
      <c r="F118" s="182">
        <f>+SUMIF([1]tb!$B$1:$B$65536,$C118,[1]tb!$I$1:$I$65536)</f>
        <v>187607.3</v>
      </c>
      <c r="G118" s="182">
        <f>+SUMIF([1]tb!$B$1:$B$65536,$C118,[1]tb!$K$1:$K$65536)</f>
        <v>187607.3</v>
      </c>
      <c r="H118" s="182">
        <f>+SUMIF([1]tb!$B$1:$B$65536,$C118,[1]tb!$M$1:$M$65536)</f>
        <v>187607.3</v>
      </c>
      <c r="I118" s="182">
        <f>+SUMIF([1]tb!$B$1:$B$65536,$C118,[1]tb!$O$1:$O$65536)</f>
        <v>187607.3</v>
      </c>
      <c r="J118" s="182">
        <f>+SUMIF([1]tb!$B$1:$B$65536,$C118,[1]tb!$Q$1:$Q$65536)</f>
        <v>187607.3</v>
      </c>
      <c r="K118" s="182">
        <f>+SUMIF([1]tb!$B$1:$B$65536,$C118,[1]tb!$S$1:$S$65536)</f>
        <v>187607.3</v>
      </c>
      <c r="L118" s="182">
        <f>+SUMIF([1]tb!$B$1:$B$65536,$C118,[1]tb!$U$1:$U$65536)</f>
        <v>187607.3</v>
      </c>
      <c r="M118" s="182">
        <f>+SUMIF([1]tb!$B$1:$B$65536,$C118,[1]tb!$W$1:$W$65536)</f>
        <v>187607.3</v>
      </c>
      <c r="N118" s="182">
        <f>+SUMIF([1]tb!$B$1:$B$65536,$C118,[1]tb!$Y$1:$Y$65536)</f>
        <v>187607.3</v>
      </c>
      <c r="O118" s="182">
        <f>+SUMIF([1]tb!$B$1:$B$65536,$C118,[1]tb!$AA$1:$AA$65536)</f>
        <v>187607.3</v>
      </c>
      <c r="P118" s="182">
        <f t="shared" si="6"/>
        <v>187607.3</v>
      </c>
    </row>
    <row r="119" spans="2:16">
      <c r="B119" s="193" t="s">
        <v>426</v>
      </c>
      <c r="C119" s="188" t="s">
        <v>204</v>
      </c>
      <c r="D119" s="182">
        <f>+SUMIF([1]tb!$B$1:$B$65536,$C119,[1]tb!$E$1:$E$65536)</f>
        <v>0</v>
      </c>
      <c r="E119" s="182">
        <f>+SUMIF([1]tb!$B$1:$B$65536,$C119,[1]tb!$G$1:$G$65536)</f>
        <v>8440</v>
      </c>
      <c r="F119" s="182">
        <f>+SUMIF([1]tb!$B$1:$B$65536,$C119,[1]tb!$I$1:$I$65536)</f>
        <v>8840</v>
      </c>
      <c r="G119" s="182">
        <f>+SUMIF([1]tb!$B$1:$B$65536,$C119,[1]tb!$K$1:$K$65536)</f>
        <v>8840</v>
      </c>
      <c r="H119" s="182">
        <f>+SUMIF([1]tb!$B$1:$B$65536,$C119,[1]tb!$M$1:$M$65536)</f>
        <v>8840</v>
      </c>
      <c r="I119" s="182">
        <f>+SUMIF([1]tb!$B$1:$B$65536,$C119,[1]tb!$O$1:$O$65536)</f>
        <v>8840</v>
      </c>
      <c r="J119" s="182">
        <f>+SUMIF([1]tb!$B$1:$B$65536,$C119,[1]tb!$Q$1:$Q$65536)</f>
        <v>8840</v>
      </c>
      <c r="K119" s="182">
        <f>+SUMIF([1]tb!$B$1:$B$65536,$C119,[1]tb!$S$1:$S$65536)</f>
        <v>8840</v>
      </c>
      <c r="L119" s="182">
        <f>+SUMIF([1]tb!$B$1:$B$65536,$C119,[1]tb!$U$1:$U$65536)</f>
        <v>8840</v>
      </c>
      <c r="M119" s="182">
        <f>+SUMIF([1]tb!$B$1:$B$65536,$C119,[1]tb!$W$1:$W$65536)</f>
        <v>8840</v>
      </c>
      <c r="N119" s="182">
        <f>+SUMIF([1]tb!$B$1:$B$65536,$C119,[1]tb!$Y$1:$Y$65536)</f>
        <v>8840</v>
      </c>
      <c r="O119" s="182">
        <f>+SUMIF([1]tb!$B$1:$B$65536,$C119,[1]tb!$AA$1:$AA$65536)</f>
        <v>8840</v>
      </c>
      <c r="P119" s="182">
        <f t="shared" si="6"/>
        <v>8840</v>
      </c>
    </row>
    <row r="120" spans="2:16" hidden="1">
      <c r="B120" s="193" t="s">
        <v>427</v>
      </c>
      <c r="C120" s="188" t="s">
        <v>205</v>
      </c>
      <c r="D120" s="182">
        <f>+SUMIF([1]tb!$B$1:$B$65536,$C120,[1]tb!$E$1:$E$65536)</f>
        <v>0</v>
      </c>
      <c r="E120" s="182">
        <f>+SUMIF([1]tb!$B$1:$B$65536,$C120,[1]tb!$G$1:$G$65536)</f>
        <v>0</v>
      </c>
      <c r="F120" s="182">
        <f>+SUMIF([1]tb!$B$1:$B$65536,$C120,[1]tb!$I$1:$I$65536)</f>
        <v>0</v>
      </c>
      <c r="G120" s="182">
        <f>+SUMIF([1]tb!$B$1:$B$65536,$C120,[1]tb!$K$1:$K$65536)</f>
        <v>0</v>
      </c>
      <c r="H120" s="182">
        <f>+SUMIF([1]tb!$B$1:$B$65536,$C120,[1]tb!$M$1:$M$65536)</f>
        <v>0</v>
      </c>
      <c r="I120" s="182">
        <f>+SUMIF([1]tb!$B$1:$B$65536,$C120,[1]tb!$O$1:$O$65536)</f>
        <v>0</v>
      </c>
      <c r="J120" s="182">
        <f>+SUMIF([1]tb!$B$1:$B$65536,$C120,[1]tb!$Q$1:$Q$65536)</f>
        <v>0</v>
      </c>
      <c r="K120" s="182">
        <f>+SUMIF([1]tb!$B$1:$B$65536,$C120,[1]tb!$S$1:$S$65536)</f>
        <v>0</v>
      </c>
      <c r="L120" s="182">
        <f>+SUMIF([1]tb!$B$1:$B$65536,$C120,[1]tb!$U$1:$U$65536)</f>
        <v>0</v>
      </c>
      <c r="M120" s="182">
        <f>+SUMIF([1]tb!$B$1:$B$65536,$C120,[1]tb!$W$1:$W$65536)</f>
        <v>0</v>
      </c>
      <c r="N120" s="182">
        <f>+SUMIF([1]tb!$B$1:$B$65536,$C120,[1]tb!$Y$1:$Y$65536)</f>
        <v>0</v>
      </c>
      <c r="O120" s="182">
        <f>+SUMIF([1]tb!$B$1:$B$65536,$C120,[1]tb!$AA$1:$AA$65536)</f>
        <v>0</v>
      </c>
      <c r="P120" s="182">
        <f t="shared" si="6"/>
        <v>0</v>
      </c>
    </row>
    <row r="121" spans="2:16" hidden="1">
      <c r="B121" s="193" t="s">
        <v>428</v>
      </c>
      <c r="C121" s="188" t="s">
        <v>206</v>
      </c>
      <c r="D121" s="182">
        <f>+SUMIF([1]tb!$B$1:$B$65536,$C121,[1]tb!$E$1:$E$65536)</f>
        <v>0</v>
      </c>
      <c r="E121" s="182">
        <f>+SUMIF([1]tb!$B$1:$B$65536,$C121,[1]tb!$G$1:$G$65536)</f>
        <v>0</v>
      </c>
      <c r="F121" s="182">
        <f>+SUMIF([1]tb!$B$1:$B$65536,$C121,[1]tb!$I$1:$I$65536)</f>
        <v>0</v>
      </c>
      <c r="G121" s="182">
        <f>+SUMIF([1]tb!$B$1:$B$65536,$C121,[1]tb!$K$1:$K$65536)</f>
        <v>0</v>
      </c>
      <c r="H121" s="182">
        <f>+SUMIF([1]tb!$B$1:$B$65536,$C121,[1]tb!$M$1:$M$65536)</f>
        <v>0</v>
      </c>
      <c r="I121" s="182">
        <f>+SUMIF([1]tb!$B$1:$B$65536,$C121,[1]tb!$O$1:$O$65536)</f>
        <v>0</v>
      </c>
      <c r="J121" s="182">
        <f>+SUMIF([1]tb!$B$1:$B$65536,$C121,[1]tb!$Q$1:$Q$65536)</f>
        <v>0</v>
      </c>
      <c r="K121" s="182">
        <f>+SUMIF([1]tb!$B$1:$B$65536,$C121,[1]tb!$S$1:$S$65536)</f>
        <v>0</v>
      </c>
      <c r="L121" s="182">
        <f>+SUMIF([1]tb!$B$1:$B$65536,$C121,[1]tb!$U$1:$U$65536)</f>
        <v>0</v>
      </c>
      <c r="M121" s="182">
        <f>+SUMIF([1]tb!$B$1:$B$65536,$C121,[1]tb!$W$1:$W$65536)</f>
        <v>0</v>
      </c>
      <c r="N121" s="182">
        <f>+SUMIF([1]tb!$B$1:$B$65536,$C121,[1]tb!$Y$1:$Y$65536)</f>
        <v>0</v>
      </c>
      <c r="O121" s="182">
        <f>+SUMIF([1]tb!$B$1:$B$65536,$C121,[1]tb!$AA$1:$AA$65536)</f>
        <v>0</v>
      </c>
      <c r="P121" s="182">
        <f t="shared" si="6"/>
        <v>0</v>
      </c>
    </row>
    <row r="122" spans="2:16">
      <c r="B122" s="193" t="s">
        <v>429</v>
      </c>
      <c r="C122" s="188" t="s">
        <v>207</v>
      </c>
      <c r="D122" s="182">
        <f>+SUMIF([1]tb!$B$1:$B$65536,$C122,[1]tb!$E$1:$E$65536)</f>
        <v>0</v>
      </c>
      <c r="E122" s="182">
        <f>+SUMIF([1]tb!$B$1:$B$65536,$C122,[1]tb!$G$1:$G$65536)</f>
        <v>1600</v>
      </c>
      <c r="F122" s="182">
        <f>+SUMIF([1]tb!$B$1:$B$65536,$C122,[1]tb!$I$1:$I$65536)</f>
        <v>3120</v>
      </c>
      <c r="G122" s="182">
        <f>+SUMIF([1]tb!$B$1:$B$65536,$C122,[1]tb!$K$1:$K$65536)</f>
        <v>3120</v>
      </c>
      <c r="H122" s="182">
        <f>+SUMIF([1]tb!$B$1:$B$65536,$C122,[1]tb!$M$1:$M$65536)</f>
        <v>3120</v>
      </c>
      <c r="I122" s="182">
        <f>+SUMIF([1]tb!$B$1:$B$65536,$C122,[1]tb!$O$1:$O$65536)</f>
        <v>3120</v>
      </c>
      <c r="J122" s="182">
        <f>+SUMIF([1]tb!$B$1:$B$65536,$C122,[1]tb!$Q$1:$Q$65536)</f>
        <v>3120</v>
      </c>
      <c r="K122" s="182">
        <f>+SUMIF([1]tb!$B$1:$B$65536,$C122,[1]tb!$S$1:$S$65536)</f>
        <v>3120</v>
      </c>
      <c r="L122" s="182">
        <f>+SUMIF([1]tb!$B$1:$B$65536,$C122,[1]tb!$U$1:$U$65536)</f>
        <v>3120</v>
      </c>
      <c r="M122" s="182">
        <f>+SUMIF([1]tb!$B$1:$B$65536,$C122,[1]tb!$W$1:$W$65536)</f>
        <v>3120</v>
      </c>
      <c r="N122" s="182">
        <f>+SUMIF([1]tb!$B$1:$B$65536,$C122,[1]tb!$Y$1:$Y$65536)</f>
        <v>3120</v>
      </c>
      <c r="O122" s="182">
        <f>+SUMIF([1]tb!$B$1:$B$65536,$C122,[1]tb!$AA$1:$AA$65536)</f>
        <v>3120</v>
      </c>
      <c r="P122" s="182">
        <f t="shared" si="6"/>
        <v>3120</v>
      </c>
    </row>
    <row r="123" spans="2:16" hidden="1">
      <c r="B123" s="193" t="s">
        <v>431</v>
      </c>
      <c r="C123" s="188" t="s">
        <v>209</v>
      </c>
      <c r="D123" s="182">
        <f>+SUMIF([1]tb!$B$1:$B$65536,$C123,[1]tb!$E$1:$E$65536)</f>
        <v>0</v>
      </c>
      <c r="E123" s="182">
        <f>+SUMIF([1]tb!$B$1:$B$65536,$C123,[1]tb!$G$1:$G$65536)</f>
        <v>0</v>
      </c>
      <c r="F123" s="182">
        <f>+SUMIF([1]tb!$B$1:$B$65536,$C123,[1]tb!$I$1:$I$65536)</f>
        <v>0</v>
      </c>
      <c r="G123" s="182">
        <f>+SUMIF([1]tb!$B$1:$B$65536,$C123,[1]tb!$K$1:$K$65536)</f>
        <v>0</v>
      </c>
      <c r="H123" s="182">
        <f>+SUMIF([1]tb!$B$1:$B$65536,$C123,[1]tb!$M$1:$M$65536)</f>
        <v>0</v>
      </c>
      <c r="I123" s="182">
        <f>+SUMIF([1]tb!$B$1:$B$65536,$C123,[1]tb!$O$1:$O$65536)</f>
        <v>0</v>
      </c>
      <c r="J123" s="182">
        <f>+SUMIF([1]tb!$B$1:$B$65536,$C123,[1]tb!$Q$1:$Q$65536)</f>
        <v>0</v>
      </c>
      <c r="K123" s="182">
        <f>+SUMIF([1]tb!$B$1:$B$65536,$C123,[1]tb!$S$1:$S$65536)</f>
        <v>0</v>
      </c>
      <c r="L123" s="182">
        <f>+SUMIF([1]tb!$B$1:$B$65536,$C123,[1]tb!$U$1:$U$65536)</f>
        <v>0</v>
      </c>
      <c r="M123" s="182">
        <f>+SUMIF([1]tb!$B$1:$B$65536,$C123,[1]tb!$W$1:$W$65536)</f>
        <v>0</v>
      </c>
      <c r="N123" s="182">
        <f>+SUMIF([1]tb!$B$1:$B$65536,$C123,[1]tb!$Y$1:$Y$65536)</f>
        <v>0</v>
      </c>
      <c r="O123" s="182">
        <f>+SUMIF([1]tb!$B$1:$B$65536,$C123,[1]tb!$AA$1:$AA$65536)</f>
        <v>0</v>
      </c>
      <c r="P123" s="182">
        <f t="shared" si="6"/>
        <v>0</v>
      </c>
    </row>
    <row r="124" spans="2:16" hidden="1">
      <c r="B124" s="193" t="s">
        <v>432</v>
      </c>
      <c r="C124" s="188" t="s">
        <v>210</v>
      </c>
      <c r="D124" s="182">
        <f>+SUMIF([1]tb!$B$1:$B$65536,$C124,[1]tb!$E$1:$E$65536)</f>
        <v>0</v>
      </c>
      <c r="E124" s="182">
        <f>+SUMIF([1]tb!$B$1:$B$65536,$C124,[1]tb!$G$1:$G$65536)</f>
        <v>0</v>
      </c>
      <c r="F124" s="182">
        <f>+SUMIF([1]tb!$B$1:$B$65536,$C124,[1]tb!$I$1:$I$65536)</f>
        <v>0</v>
      </c>
      <c r="G124" s="182">
        <f>+SUMIF([1]tb!$B$1:$B$65536,$C124,[1]tb!$K$1:$K$65536)</f>
        <v>0</v>
      </c>
      <c r="H124" s="182">
        <f>+SUMIF([1]tb!$B$1:$B$65536,$C124,[1]tb!$M$1:$M$65536)</f>
        <v>0</v>
      </c>
      <c r="I124" s="182">
        <f>+SUMIF([1]tb!$B$1:$B$65536,$C124,[1]tb!$O$1:$O$65536)</f>
        <v>0</v>
      </c>
      <c r="J124" s="182">
        <f>+SUMIF([1]tb!$B$1:$B$65536,$C124,[1]tb!$Q$1:$Q$65536)</f>
        <v>0</v>
      </c>
      <c r="K124" s="182">
        <f>+SUMIF([1]tb!$B$1:$B$65536,$C124,[1]tb!$S$1:$S$65536)</f>
        <v>0</v>
      </c>
      <c r="L124" s="182">
        <f>+SUMIF([1]tb!$B$1:$B$65536,$C124,[1]tb!$U$1:$U$65536)</f>
        <v>0</v>
      </c>
      <c r="M124" s="182">
        <f>+SUMIF([1]tb!$B$1:$B$65536,$C124,[1]tb!$W$1:$W$65536)</f>
        <v>0</v>
      </c>
      <c r="N124" s="182">
        <f>+SUMIF([1]tb!$B$1:$B$65536,$C124,[1]tb!$Y$1:$Y$65536)</f>
        <v>0</v>
      </c>
      <c r="O124" s="182">
        <f>+SUMIF([1]tb!$B$1:$B$65536,$C124,[1]tb!$AA$1:$AA$65536)</f>
        <v>0</v>
      </c>
      <c r="P124" s="182">
        <f t="shared" si="6"/>
        <v>0</v>
      </c>
    </row>
    <row r="125" spans="2:16" ht="5.0999999999999996" customHeight="1">
      <c r="D125" s="182"/>
      <c r="E125" s="182"/>
      <c r="F125" s="182"/>
      <c r="G125" s="182"/>
      <c r="H125" s="182"/>
      <c r="I125" s="182"/>
      <c r="J125" s="182"/>
      <c r="K125" s="182"/>
      <c r="L125" s="182"/>
      <c r="M125" s="182"/>
      <c r="N125" s="182"/>
      <c r="O125" s="182"/>
      <c r="P125" s="182"/>
    </row>
    <row r="126" spans="2:16">
      <c r="B126" s="195" t="s">
        <v>692</v>
      </c>
      <c r="D126" s="196">
        <f>+SUM(D77:D125)</f>
        <v>419953.41</v>
      </c>
      <c r="E126" s="196">
        <f t="shared" ref="E126:P126" si="7">+SUM(E77:E125)</f>
        <v>1119621.7399999998</v>
      </c>
      <c r="F126" s="196">
        <f t="shared" si="7"/>
        <v>1952174.88</v>
      </c>
      <c r="G126" s="196">
        <f t="shared" si="7"/>
        <v>1952174.88</v>
      </c>
      <c r="H126" s="196">
        <f t="shared" si="7"/>
        <v>1952174.88</v>
      </c>
      <c r="I126" s="196">
        <f t="shared" si="7"/>
        <v>1952174.88</v>
      </c>
      <c r="J126" s="196">
        <f t="shared" si="7"/>
        <v>1952174.88</v>
      </c>
      <c r="K126" s="196">
        <f t="shared" si="7"/>
        <v>1952174.88</v>
      </c>
      <c r="L126" s="196">
        <f t="shared" si="7"/>
        <v>1952174.88</v>
      </c>
      <c r="M126" s="196">
        <f t="shared" si="7"/>
        <v>1952174.88</v>
      </c>
      <c r="N126" s="196">
        <f t="shared" si="7"/>
        <v>1952174.88</v>
      </c>
      <c r="O126" s="196">
        <f t="shared" si="7"/>
        <v>1952174.88</v>
      </c>
      <c r="P126" s="196">
        <f t="shared" si="7"/>
        <v>1952174.88</v>
      </c>
    </row>
    <row r="127" spans="2:16" ht="5.0999999999999996" customHeight="1">
      <c r="D127" s="182"/>
      <c r="E127" s="182"/>
      <c r="F127" s="182"/>
      <c r="G127" s="182"/>
      <c r="H127" s="182"/>
      <c r="I127" s="182"/>
      <c r="J127" s="182"/>
      <c r="K127" s="182"/>
      <c r="L127" s="182"/>
      <c r="M127" s="182"/>
      <c r="N127" s="182"/>
      <c r="O127" s="182"/>
      <c r="P127" s="182"/>
    </row>
    <row r="128" spans="2:16">
      <c r="B128" s="191" t="s">
        <v>693</v>
      </c>
      <c r="D128" s="182"/>
      <c r="E128" s="182"/>
      <c r="F128" s="182"/>
      <c r="G128" s="182"/>
      <c r="H128" s="182"/>
      <c r="I128" s="182"/>
      <c r="J128" s="182"/>
      <c r="K128" s="182"/>
      <c r="L128" s="182"/>
      <c r="M128" s="182"/>
      <c r="N128" s="182"/>
      <c r="O128" s="182"/>
      <c r="P128" s="182"/>
    </row>
    <row r="129" spans="2:16" ht="5.0999999999999996" customHeight="1">
      <c r="D129" s="182"/>
      <c r="E129" s="182"/>
      <c r="F129" s="182"/>
      <c r="G129" s="182"/>
      <c r="H129" s="182"/>
      <c r="I129" s="182"/>
      <c r="J129" s="182"/>
      <c r="K129" s="182"/>
      <c r="L129" s="182"/>
      <c r="M129" s="182"/>
      <c r="N129" s="182"/>
      <c r="O129" s="182"/>
      <c r="P129" s="182"/>
    </row>
    <row r="130" spans="2:16" hidden="1">
      <c r="B130" s="193" t="s">
        <v>434</v>
      </c>
      <c r="C130" s="188" t="s">
        <v>212</v>
      </c>
      <c r="D130" s="182">
        <f>+SUMIF([1]tb!$B$1:$B$65536,$C130,[1]tb!$E$1:$E$65536)</f>
        <v>0</v>
      </c>
      <c r="E130" s="182">
        <f>+SUMIF([1]tb!$B$1:$B$65536,$C130,[1]tb!$G$1:$G$65536)</f>
        <v>0</v>
      </c>
      <c r="F130" s="182">
        <f>+SUMIF([1]tb!$B$1:$B$65536,$C130,[1]tb!$I$1:$I$65536)</f>
        <v>0</v>
      </c>
      <c r="G130" s="182">
        <f>+SUMIF([1]tb!$B$1:$B$65536,$C130,[1]tb!$K$1:$K$65536)</f>
        <v>0</v>
      </c>
      <c r="H130" s="182">
        <f>+SUMIF([1]tb!$B$1:$B$65536,$C130,[1]tb!$M$1:$M$65536)</f>
        <v>0</v>
      </c>
      <c r="I130" s="182">
        <f>+SUMIF([1]tb!$B$1:$B$65536,$C130,[1]tb!$O$1:$O$65536)</f>
        <v>0</v>
      </c>
      <c r="J130" s="182">
        <f>+SUMIF([1]tb!$B$1:$B$65536,$C130,[1]tb!$Q$1:$Q$65536)</f>
        <v>0</v>
      </c>
      <c r="K130" s="182">
        <f>+SUMIF([1]tb!$B$1:$B$65536,$C130,[1]tb!$S$1:$S$65536)</f>
        <v>0</v>
      </c>
      <c r="L130" s="182">
        <f>+SUMIF([1]tb!$B$1:$B$65536,$C130,[1]tb!$U$1:$U$65536)</f>
        <v>0</v>
      </c>
      <c r="M130" s="182">
        <f>+SUMIF([1]tb!$B$1:$B$65536,$C130,[1]tb!$W$1:$W$65536)</f>
        <v>0</v>
      </c>
      <c r="N130" s="182">
        <f>+SUMIF([1]tb!$B$1:$B$65536,$C130,[1]tb!$Y$1:$Y$65536)</f>
        <v>0</v>
      </c>
      <c r="O130" s="182">
        <f>+SUMIF([1]tb!$B$1:$B$65536,$C130,[1]tb!$AA$1:$AA$65536)</f>
        <v>0</v>
      </c>
      <c r="P130" s="182">
        <f t="shared" ref="P130:P147" si="8">+O130</f>
        <v>0</v>
      </c>
    </row>
    <row r="131" spans="2:16">
      <c r="B131" s="193" t="s">
        <v>435</v>
      </c>
      <c r="C131" s="188" t="s">
        <v>213</v>
      </c>
      <c r="D131" s="182">
        <f>+SUMIF([1]tb!$B$1:$B$65536,$C131,[1]tb!$E$1:$E$65536)</f>
        <v>196.88</v>
      </c>
      <c r="E131" s="182">
        <f>+SUMIF([1]tb!$B$1:$B$65536,$C131,[1]tb!$G$1:$G$65536)</f>
        <v>393.75</v>
      </c>
      <c r="F131" s="182">
        <f>+SUMIF([1]tb!$B$1:$B$65536,$C131,[1]tb!$I$1:$I$65536)</f>
        <v>590.63</v>
      </c>
      <c r="G131" s="182">
        <f>+SUMIF([1]tb!$B$1:$B$65536,$C131,[1]tb!$K$1:$K$65536)</f>
        <v>590.63</v>
      </c>
      <c r="H131" s="182">
        <f>+SUMIF([1]tb!$B$1:$B$65536,$C131,[1]tb!$M$1:$M$65536)</f>
        <v>590.63</v>
      </c>
      <c r="I131" s="182">
        <f>+SUMIF([1]tb!$B$1:$B$65536,$C131,[1]tb!$O$1:$O$65536)</f>
        <v>590.63</v>
      </c>
      <c r="J131" s="182">
        <f>+SUMIF([1]tb!$B$1:$B$65536,$C131,[1]tb!$Q$1:$Q$65536)</f>
        <v>590.63</v>
      </c>
      <c r="K131" s="182">
        <f>+SUMIF([1]tb!$B$1:$B$65536,$C131,[1]tb!$S$1:$S$65536)</f>
        <v>590.63</v>
      </c>
      <c r="L131" s="182">
        <f>+SUMIF([1]tb!$B$1:$B$65536,$C131,[1]tb!$U$1:$U$65536)</f>
        <v>590.63</v>
      </c>
      <c r="M131" s="182">
        <f>+SUMIF([1]tb!$B$1:$B$65536,$C131,[1]tb!$W$1:$W$65536)</f>
        <v>590.63</v>
      </c>
      <c r="N131" s="182">
        <f>+SUMIF([1]tb!$B$1:$B$65536,$C131,[1]tb!$Y$1:$Y$65536)</f>
        <v>590.63</v>
      </c>
      <c r="O131" s="182">
        <f>+SUMIF([1]tb!$B$1:$B$65536,$C131,[1]tb!$AA$1:$AA$65536)</f>
        <v>590.63</v>
      </c>
      <c r="P131" s="182">
        <f t="shared" si="8"/>
        <v>590.63</v>
      </c>
    </row>
    <row r="132" spans="2:16">
      <c r="B132" s="193" t="s">
        <v>436</v>
      </c>
      <c r="C132" s="188" t="s">
        <v>214</v>
      </c>
      <c r="D132" s="182">
        <f>+SUMIF([1]tb!$B$1:$B$65536,$C132,[1]tb!$E$1:$E$65536)</f>
        <v>20312.419999999998</v>
      </c>
      <c r="E132" s="182">
        <f>+SUMIF([1]tb!$B$1:$B$65536,$C132,[1]tb!$G$1:$G$65536)</f>
        <v>40624.83</v>
      </c>
      <c r="F132" s="182">
        <f>+SUMIF([1]tb!$B$1:$B$65536,$C132,[1]tb!$I$1:$I$65536)</f>
        <v>60937.25</v>
      </c>
      <c r="G132" s="182">
        <f>+SUMIF([1]tb!$B$1:$B$65536,$C132,[1]tb!$K$1:$K$65536)</f>
        <v>60937.25</v>
      </c>
      <c r="H132" s="182">
        <f>+SUMIF([1]tb!$B$1:$B$65536,$C132,[1]tb!$M$1:$M$65536)</f>
        <v>60937.25</v>
      </c>
      <c r="I132" s="182">
        <f>+SUMIF([1]tb!$B$1:$B$65536,$C132,[1]tb!$O$1:$O$65536)</f>
        <v>60937.25</v>
      </c>
      <c r="J132" s="182">
        <f>+SUMIF([1]tb!$B$1:$B$65536,$C132,[1]tb!$Q$1:$Q$65536)</f>
        <v>60937.25</v>
      </c>
      <c r="K132" s="182">
        <f>+SUMIF([1]tb!$B$1:$B$65536,$C132,[1]tb!$S$1:$S$65536)</f>
        <v>60937.25</v>
      </c>
      <c r="L132" s="182">
        <f>+SUMIF([1]tb!$B$1:$B$65536,$C132,[1]tb!$U$1:$U$65536)</f>
        <v>60937.25</v>
      </c>
      <c r="M132" s="182">
        <f>+SUMIF([1]tb!$B$1:$B$65536,$C132,[1]tb!$W$1:$W$65536)</f>
        <v>60937.25</v>
      </c>
      <c r="N132" s="182">
        <f>+SUMIF([1]tb!$B$1:$B$65536,$C132,[1]tb!$Y$1:$Y$65536)</f>
        <v>60937.25</v>
      </c>
      <c r="O132" s="182">
        <f>+SUMIF([1]tb!$B$1:$B$65536,$C132,[1]tb!$AA$1:$AA$65536)</f>
        <v>60937.25</v>
      </c>
      <c r="P132" s="182">
        <f t="shared" si="8"/>
        <v>60937.25</v>
      </c>
    </row>
    <row r="133" spans="2:16" hidden="1">
      <c r="B133" s="193" t="s">
        <v>437</v>
      </c>
      <c r="C133" s="188" t="s">
        <v>215</v>
      </c>
      <c r="D133" s="182">
        <f>+SUMIF([1]tb!$B$1:$B$65536,$C133,[1]tb!$E$1:$E$65536)</f>
        <v>0</v>
      </c>
      <c r="E133" s="182">
        <f>+SUMIF([1]tb!$B$1:$B$65536,$C133,[1]tb!$G$1:$G$65536)</f>
        <v>0</v>
      </c>
      <c r="F133" s="182">
        <f>+SUMIF([1]tb!$B$1:$B$65536,$C133,[1]tb!$I$1:$I$65536)</f>
        <v>0</v>
      </c>
      <c r="G133" s="182">
        <f>+SUMIF([1]tb!$B$1:$B$65536,$C133,[1]tb!$K$1:$K$65536)</f>
        <v>0</v>
      </c>
      <c r="H133" s="182">
        <f>+SUMIF([1]tb!$B$1:$B$65536,$C133,[1]tb!$M$1:$M$65536)</f>
        <v>0</v>
      </c>
      <c r="I133" s="182">
        <f>+SUMIF([1]tb!$B$1:$B$65536,$C133,[1]tb!$O$1:$O$65536)</f>
        <v>0</v>
      </c>
      <c r="J133" s="182">
        <f>+SUMIF([1]tb!$B$1:$B$65536,$C133,[1]tb!$Q$1:$Q$65536)</f>
        <v>0</v>
      </c>
      <c r="K133" s="182">
        <f>+SUMIF([1]tb!$B$1:$B$65536,$C133,[1]tb!$S$1:$S$65536)</f>
        <v>0</v>
      </c>
      <c r="L133" s="182">
        <f>+SUMIF([1]tb!$B$1:$B$65536,$C133,[1]tb!$U$1:$U$65536)</f>
        <v>0</v>
      </c>
      <c r="M133" s="182">
        <f>+SUMIF([1]tb!$B$1:$B$65536,$C133,[1]tb!$W$1:$W$65536)</f>
        <v>0</v>
      </c>
      <c r="N133" s="182">
        <f>+SUMIF([1]tb!$B$1:$B$65536,$C133,[1]tb!$Y$1:$Y$65536)</f>
        <v>0</v>
      </c>
      <c r="O133" s="182">
        <f>+SUMIF([1]tb!$B$1:$B$65536,$C133,[1]tb!$AA$1:$AA$65536)</f>
        <v>0</v>
      </c>
      <c r="P133" s="182">
        <f t="shared" si="8"/>
        <v>0</v>
      </c>
    </row>
    <row r="134" spans="2:16">
      <c r="B134" s="193" t="s">
        <v>438</v>
      </c>
      <c r="C134" s="188" t="s">
        <v>216</v>
      </c>
      <c r="D134" s="182">
        <f>+SUMIF([1]tb!$B$1:$B$65536,$C134,[1]tb!$E$1:$E$65536)</f>
        <v>5925.08</v>
      </c>
      <c r="E134" s="182">
        <f>+SUMIF([1]tb!$B$1:$B$65536,$C134,[1]tb!$G$1:$G$65536)</f>
        <v>11850.15</v>
      </c>
      <c r="F134" s="182">
        <f>+SUMIF([1]tb!$B$1:$B$65536,$C134,[1]tb!$I$1:$I$65536)</f>
        <v>17775.23</v>
      </c>
      <c r="G134" s="182">
        <f>+SUMIF([1]tb!$B$1:$B$65536,$C134,[1]tb!$K$1:$K$65536)</f>
        <v>17775.23</v>
      </c>
      <c r="H134" s="182">
        <f>+SUMIF([1]tb!$B$1:$B$65536,$C134,[1]tb!$M$1:$M$65536)</f>
        <v>17775.23</v>
      </c>
      <c r="I134" s="182">
        <f>+SUMIF([1]tb!$B$1:$B$65536,$C134,[1]tb!$O$1:$O$65536)</f>
        <v>17775.23</v>
      </c>
      <c r="J134" s="182">
        <f>+SUMIF([1]tb!$B$1:$B$65536,$C134,[1]tb!$Q$1:$Q$65536)</f>
        <v>17775.23</v>
      </c>
      <c r="K134" s="182">
        <f>+SUMIF([1]tb!$B$1:$B$65536,$C134,[1]tb!$S$1:$S$65536)</f>
        <v>17775.23</v>
      </c>
      <c r="L134" s="182">
        <f>+SUMIF([1]tb!$B$1:$B$65536,$C134,[1]tb!$U$1:$U$65536)</f>
        <v>17775.23</v>
      </c>
      <c r="M134" s="182">
        <f>+SUMIF([1]tb!$B$1:$B$65536,$C134,[1]tb!$W$1:$W$65536)</f>
        <v>17775.23</v>
      </c>
      <c r="N134" s="182">
        <f>+SUMIF([1]tb!$B$1:$B$65536,$C134,[1]tb!$Y$1:$Y$65536)</f>
        <v>17775.23</v>
      </c>
      <c r="O134" s="182">
        <f>+SUMIF([1]tb!$B$1:$B$65536,$C134,[1]tb!$AA$1:$AA$65536)</f>
        <v>17775.23</v>
      </c>
      <c r="P134" s="182">
        <f t="shared" si="8"/>
        <v>17775.23</v>
      </c>
    </row>
    <row r="135" spans="2:16">
      <c r="B135" s="193" t="s">
        <v>439</v>
      </c>
      <c r="C135" s="188" t="s">
        <v>217</v>
      </c>
      <c r="D135" s="182">
        <f>+SUMIF([1]tb!$B$1:$B$65536,$C135,[1]tb!$E$1:$E$65536)</f>
        <v>24251.439999999999</v>
      </c>
      <c r="E135" s="182">
        <f>+SUMIF([1]tb!$B$1:$B$65536,$C135,[1]tb!$G$1:$G$65536)</f>
        <v>48502.46</v>
      </c>
      <c r="F135" s="182">
        <f>+SUMIF([1]tb!$B$1:$B$65536,$C135,[1]tb!$I$1:$I$65536)</f>
        <v>72753.899999999994</v>
      </c>
      <c r="G135" s="182">
        <f>+SUMIF([1]tb!$B$1:$B$65536,$C135,[1]tb!$K$1:$K$65536)</f>
        <v>72753.899999999994</v>
      </c>
      <c r="H135" s="182">
        <f>+SUMIF([1]tb!$B$1:$B$65536,$C135,[1]tb!$M$1:$M$65536)</f>
        <v>72753.899999999994</v>
      </c>
      <c r="I135" s="182">
        <f>+SUMIF([1]tb!$B$1:$B$65536,$C135,[1]tb!$O$1:$O$65536)</f>
        <v>72753.899999999994</v>
      </c>
      <c r="J135" s="182">
        <f>+SUMIF([1]tb!$B$1:$B$65536,$C135,[1]tb!$Q$1:$Q$65536)</f>
        <v>72753.899999999994</v>
      </c>
      <c r="K135" s="182">
        <f>+SUMIF([1]tb!$B$1:$B$65536,$C135,[1]tb!$S$1:$S$65536)</f>
        <v>72753.899999999994</v>
      </c>
      <c r="L135" s="182">
        <f>+SUMIF([1]tb!$B$1:$B$65536,$C135,[1]tb!$U$1:$U$65536)</f>
        <v>72753.899999999994</v>
      </c>
      <c r="M135" s="182">
        <f>+SUMIF([1]tb!$B$1:$B$65536,$C135,[1]tb!$W$1:$W$65536)</f>
        <v>72753.899999999994</v>
      </c>
      <c r="N135" s="182">
        <f>+SUMIF([1]tb!$B$1:$B$65536,$C135,[1]tb!$Y$1:$Y$65536)</f>
        <v>72753.899999999994</v>
      </c>
      <c r="O135" s="182">
        <f>+SUMIF([1]tb!$B$1:$B$65536,$C135,[1]tb!$AA$1:$AA$65536)</f>
        <v>72753.899999999994</v>
      </c>
      <c r="P135" s="182">
        <f t="shared" si="8"/>
        <v>72753.899999999994</v>
      </c>
    </row>
    <row r="136" spans="2:16">
      <c r="B136" s="193" t="s">
        <v>440</v>
      </c>
      <c r="C136" s="188" t="s">
        <v>218</v>
      </c>
      <c r="D136" s="182">
        <f>+SUMIF([1]tb!$B$1:$B$65536,$C136,[1]tb!$E$1:$E$65536)</f>
        <v>223.25</v>
      </c>
      <c r="E136" s="182">
        <f>+SUMIF([1]tb!$B$1:$B$65536,$C136,[1]tb!$G$1:$G$65536)</f>
        <v>446.48</v>
      </c>
      <c r="F136" s="182">
        <f>+SUMIF([1]tb!$B$1:$B$65536,$C136,[1]tb!$I$1:$I$65536)</f>
        <v>669.72</v>
      </c>
      <c r="G136" s="182">
        <f>+SUMIF([1]tb!$B$1:$B$65536,$C136,[1]tb!$K$1:$K$65536)</f>
        <v>669.72</v>
      </c>
      <c r="H136" s="182">
        <f>+SUMIF([1]tb!$B$1:$B$65536,$C136,[1]tb!$M$1:$M$65536)</f>
        <v>669.72</v>
      </c>
      <c r="I136" s="182">
        <f>+SUMIF([1]tb!$B$1:$B$65536,$C136,[1]tb!$O$1:$O$65536)</f>
        <v>669.72</v>
      </c>
      <c r="J136" s="182">
        <f>+SUMIF([1]tb!$B$1:$B$65536,$C136,[1]tb!$Q$1:$Q$65536)</f>
        <v>669.72</v>
      </c>
      <c r="K136" s="182">
        <f>+SUMIF([1]tb!$B$1:$B$65536,$C136,[1]tb!$S$1:$S$65536)</f>
        <v>669.72</v>
      </c>
      <c r="L136" s="182">
        <f>+SUMIF([1]tb!$B$1:$B$65536,$C136,[1]tb!$U$1:$U$65536)</f>
        <v>669.72</v>
      </c>
      <c r="M136" s="182">
        <f>+SUMIF([1]tb!$B$1:$B$65536,$C136,[1]tb!$W$1:$W$65536)</f>
        <v>669.72</v>
      </c>
      <c r="N136" s="182">
        <f>+SUMIF([1]tb!$B$1:$B$65536,$C136,[1]tb!$Y$1:$Y$65536)</f>
        <v>669.72</v>
      </c>
      <c r="O136" s="182">
        <f>+SUMIF([1]tb!$B$1:$B$65536,$C136,[1]tb!$AA$1:$AA$65536)</f>
        <v>669.72</v>
      </c>
      <c r="P136" s="182">
        <f t="shared" si="8"/>
        <v>669.72</v>
      </c>
    </row>
    <row r="137" spans="2:16" hidden="1">
      <c r="B137" s="193" t="s">
        <v>441</v>
      </c>
      <c r="C137" s="188" t="s">
        <v>219</v>
      </c>
      <c r="D137" s="182">
        <f>+SUMIF([1]tb!$B$1:$B$65536,$C137,[1]tb!$E$1:$E$65536)</f>
        <v>0</v>
      </c>
      <c r="E137" s="182">
        <f>+SUMIF([1]tb!$B$1:$B$65536,$C137,[1]tb!$G$1:$G$65536)</f>
        <v>0</v>
      </c>
      <c r="F137" s="182">
        <f>+SUMIF([1]tb!$B$1:$B$65536,$C137,[1]tb!$I$1:$I$65536)</f>
        <v>0</v>
      </c>
      <c r="G137" s="182">
        <f>+SUMIF([1]tb!$B$1:$B$65536,$C137,[1]tb!$K$1:$K$65536)</f>
        <v>0</v>
      </c>
      <c r="H137" s="182">
        <f>+SUMIF([1]tb!$B$1:$B$65536,$C137,[1]tb!$M$1:$M$65536)</f>
        <v>0</v>
      </c>
      <c r="I137" s="182">
        <f>+SUMIF([1]tb!$B$1:$B$65536,$C137,[1]tb!$O$1:$O$65536)</f>
        <v>0</v>
      </c>
      <c r="J137" s="182">
        <f>+SUMIF([1]tb!$B$1:$B$65536,$C137,[1]tb!$Q$1:$Q$65536)</f>
        <v>0</v>
      </c>
      <c r="K137" s="182">
        <f>+SUMIF([1]tb!$B$1:$B$65536,$C137,[1]tb!$S$1:$S$65536)</f>
        <v>0</v>
      </c>
      <c r="L137" s="182">
        <f>+SUMIF([1]tb!$B$1:$B$65536,$C137,[1]tb!$U$1:$U$65536)</f>
        <v>0</v>
      </c>
      <c r="M137" s="182">
        <f>+SUMIF([1]tb!$B$1:$B$65536,$C137,[1]tb!$W$1:$W$65536)</f>
        <v>0</v>
      </c>
      <c r="N137" s="182">
        <f>+SUMIF([1]tb!$B$1:$B$65536,$C137,[1]tb!$Y$1:$Y$65536)</f>
        <v>0</v>
      </c>
      <c r="O137" s="182">
        <f>+SUMIF([1]tb!$B$1:$B$65536,$C137,[1]tb!$AA$1:$AA$65536)</f>
        <v>0</v>
      </c>
      <c r="P137" s="182">
        <f t="shared" si="8"/>
        <v>0</v>
      </c>
    </row>
    <row r="138" spans="2:16" hidden="1">
      <c r="B138" s="193" t="s">
        <v>442</v>
      </c>
      <c r="C138" s="188" t="s">
        <v>220</v>
      </c>
      <c r="D138" s="182">
        <f>+SUMIF([1]tb!$B$1:$B$65536,$C138,[1]tb!$E$1:$E$65536)</f>
        <v>0</v>
      </c>
      <c r="E138" s="182">
        <f>+SUMIF([1]tb!$B$1:$B$65536,$C138,[1]tb!$G$1:$G$65536)</f>
        <v>0</v>
      </c>
      <c r="F138" s="182">
        <f>+SUMIF([1]tb!$B$1:$B$65536,$C138,[1]tb!$I$1:$I$65536)</f>
        <v>0</v>
      </c>
      <c r="G138" s="182">
        <f>+SUMIF([1]tb!$B$1:$B$65536,$C138,[1]tb!$K$1:$K$65536)</f>
        <v>0</v>
      </c>
      <c r="H138" s="182">
        <f>+SUMIF([1]tb!$B$1:$B$65536,$C138,[1]tb!$M$1:$M$65536)</f>
        <v>0</v>
      </c>
      <c r="I138" s="182">
        <f>+SUMIF([1]tb!$B$1:$B$65536,$C138,[1]tb!$O$1:$O$65536)</f>
        <v>0</v>
      </c>
      <c r="J138" s="182">
        <f>+SUMIF([1]tb!$B$1:$B$65536,$C138,[1]tb!$Q$1:$Q$65536)</f>
        <v>0</v>
      </c>
      <c r="K138" s="182">
        <f>+SUMIF([1]tb!$B$1:$B$65536,$C138,[1]tb!$S$1:$S$65536)</f>
        <v>0</v>
      </c>
      <c r="L138" s="182">
        <f>+SUMIF([1]tb!$B$1:$B$65536,$C138,[1]tb!$U$1:$U$65536)</f>
        <v>0</v>
      </c>
      <c r="M138" s="182">
        <f>+SUMIF([1]tb!$B$1:$B$65536,$C138,[1]tb!$W$1:$W$65536)</f>
        <v>0</v>
      </c>
      <c r="N138" s="182">
        <f>+SUMIF([1]tb!$B$1:$B$65536,$C138,[1]tb!$Y$1:$Y$65536)</f>
        <v>0</v>
      </c>
      <c r="O138" s="182">
        <f>+SUMIF([1]tb!$B$1:$B$65536,$C138,[1]tb!$AA$1:$AA$65536)</f>
        <v>0</v>
      </c>
      <c r="P138" s="182">
        <f t="shared" si="8"/>
        <v>0</v>
      </c>
    </row>
    <row r="139" spans="2:16" hidden="1">
      <c r="B139" s="193" t="s">
        <v>443</v>
      </c>
      <c r="C139" s="188" t="s">
        <v>221</v>
      </c>
      <c r="D139" s="182">
        <f>+SUMIF([1]tb!$B$1:$B$65536,$C139,[1]tb!$E$1:$E$65536)</f>
        <v>0</v>
      </c>
      <c r="E139" s="182">
        <f>+SUMIF([1]tb!$B$1:$B$65536,$C139,[1]tb!$G$1:$G$65536)</f>
        <v>0</v>
      </c>
      <c r="F139" s="182">
        <f>+SUMIF([1]tb!$B$1:$B$65536,$C139,[1]tb!$I$1:$I$65536)</f>
        <v>0</v>
      </c>
      <c r="G139" s="182">
        <f>+SUMIF([1]tb!$B$1:$B$65536,$C139,[1]tb!$K$1:$K$65536)</f>
        <v>0</v>
      </c>
      <c r="H139" s="182">
        <f>+SUMIF([1]tb!$B$1:$B$65536,$C139,[1]tb!$M$1:$M$65536)</f>
        <v>0</v>
      </c>
      <c r="I139" s="182">
        <f>+SUMIF([1]tb!$B$1:$B$65536,$C139,[1]tb!$O$1:$O$65536)</f>
        <v>0</v>
      </c>
      <c r="J139" s="182">
        <f>+SUMIF([1]tb!$B$1:$B$65536,$C139,[1]tb!$Q$1:$Q$65536)</f>
        <v>0</v>
      </c>
      <c r="K139" s="182">
        <f>+SUMIF([1]tb!$B$1:$B$65536,$C139,[1]tb!$S$1:$S$65536)</f>
        <v>0</v>
      </c>
      <c r="L139" s="182">
        <f>+SUMIF([1]tb!$B$1:$B$65536,$C139,[1]tb!$U$1:$U$65536)</f>
        <v>0</v>
      </c>
      <c r="M139" s="182">
        <f>+SUMIF([1]tb!$B$1:$B$65536,$C139,[1]tb!$W$1:$W$65536)</f>
        <v>0</v>
      </c>
      <c r="N139" s="182">
        <f>+SUMIF([1]tb!$B$1:$B$65536,$C139,[1]tb!$Y$1:$Y$65536)</f>
        <v>0</v>
      </c>
      <c r="O139" s="182">
        <f>+SUMIF([1]tb!$B$1:$B$65536,$C139,[1]tb!$AA$1:$AA$65536)</f>
        <v>0</v>
      </c>
      <c r="P139" s="182">
        <f t="shared" si="8"/>
        <v>0</v>
      </c>
    </row>
    <row r="140" spans="2:16" hidden="1">
      <c r="B140" s="193" t="s">
        <v>444</v>
      </c>
      <c r="C140" s="188" t="s">
        <v>222</v>
      </c>
      <c r="D140" s="182">
        <f>+SUMIF([1]tb!$B$1:$B$65536,$C140,[1]tb!$E$1:$E$65536)</f>
        <v>0</v>
      </c>
      <c r="E140" s="182">
        <f>+SUMIF([1]tb!$B$1:$B$65536,$C140,[1]tb!$G$1:$G$65536)</f>
        <v>0</v>
      </c>
      <c r="F140" s="182">
        <f>+SUMIF([1]tb!$B$1:$B$65536,$C140,[1]tb!$I$1:$I$65536)</f>
        <v>0</v>
      </c>
      <c r="G140" s="182">
        <f>+SUMIF([1]tb!$B$1:$B$65536,$C140,[1]tb!$K$1:$K$65536)</f>
        <v>0</v>
      </c>
      <c r="H140" s="182">
        <f>+SUMIF([1]tb!$B$1:$B$65536,$C140,[1]tb!$M$1:$M$65536)</f>
        <v>0</v>
      </c>
      <c r="I140" s="182">
        <f>+SUMIF([1]tb!$B$1:$B$65536,$C140,[1]tb!$O$1:$O$65536)</f>
        <v>0</v>
      </c>
      <c r="J140" s="182">
        <f>+SUMIF([1]tb!$B$1:$B$65536,$C140,[1]tb!$Q$1:$Q$65536)</f>
        <v>0</v>
      </c>
      <c r="K140" s="182">
        <f>+SUMIF([1]tb!$B$1:$B$65536,$C140,[1]tb!$S$1:$S$65536)</f>
        <v>0</v>
      </c>
      <c r="L140" s="182">
        <f>+SUMIF([1]tb!$B$1:$B$65536,$C140,[1]tb!$U$1:$U$65536)</f>
        <v>0</v>
      </c>
      <c r="M140" s="182">
        <f>+SUMIF([1]tb!$B$1:$B$65536,$C140,[1]tb!$W$1:$W$65536)</f>
        <v>0</v>
      </c>
      <c r="N140" s="182">
        <f>+SUMIF([1]tb!$B$1:$B$65536,$C140,[1]tb!$Y$1:$Y$65536)</f>
        <v>0</v>
      </c>
      <c r="O140" s="182">
        <f>+SUMIF([1]tb!$B$1:$B$65536,$C140,[1]tb!$AA$1:$AA$65536)</f>
        <v>0</v>
      </c>
      <c r="P140" s="182">
        <f t="shared" si="8"/>
        <v>0</v>
      </c>
    </row>
    <row r="141" spans="2:16">
      <c r="B141" s="193" t="s">
        <v>445</v>
      </c>
      <c r="C141" s="188" t="s">
        <v>223</v>
      </c>
      <c r="D141" s="182">
        <f>+SUMIF([1]tb!$B$1:$B$65536,$C141,[1]tb!$E$1:$E$65536)</f>
        <v>94005.84</v>
      </c>
      <c r="E141" s="182">
        <f>+SUMIF([1]tb!$B$1:$B$65536,$C141,[1]tb!$G$1:$G$65536)</f>
        <v>188011.55</v>
      </c>
      <c r="F141" s="182">
        <f>+SUMIF([1]tb!$B$1:$B$65536,$C141,[1]tb!$I$1:$I$65536)</f>
        <v>282017.39</v>
      </c>
      <c r="G141" s="182">
        <f>+SUMIF([1]tb!$B$1:$B$65536,$C141,[1]tb!$K$1:$K$65536)</f>
        <v>282017.39</v>
      </c>
      <c r="H141" s="182">
        <f>+SUMIF([1]tb!$B$1:$B$65536,$C141,[1]tb!$M$1:$M$65536)</f>
        <v>282017.39</v>
      </c>
      <c r="I141" s="182">
        <f>+SUMIF([1]tb!$B$1:$B$65536,$C141,[1]tb!$O$1:$O$65536)</f>
        <v>282017.39</v>
      </c>
      <c r="J141" s="182">
        <f>+SUMIF([1]tb!$B$1:$B$65536,$C141,[1]tb!$Q$1:$Q$65536)</f>
        <v>282017.39</v>
      </c>
      <c r="K141" s="182">
        <f>+SUMIF([1]tb!$B$1:$B$65536,$C141,[1]tb!$S$1:$S$65536)</f>
        <v>282017.39</v>
      </c>
      <c r="L141" s="182">
        <f>+SUMIF([1]tb!$B$1:$B$65536,$C141,[1]tb!$U$1:$U$65536)</f>
        <v>282017.39</v>
      </c>
      <c r="M141" s="182">
        <f>+SUMIF([1]tb!$B$1:$B$65536,$C141,[1]tb!$W$1:$W$65536)</f>
        <v>282017.39</v>
      </c>
      <c r="N141" s="182">
        <f>+SUMIF([1]tb!$B$1:$B$65536,$C141,[1]tb!$Y$1:$Y$65536)</f>
        <v>282017.39</v>
      </c>
      <c r="O141" s="182">
        <f>+SUMIF([1]tb!$B$1:$B$65536,$C141,[1]tb!$AA$1:$AA$65536)</f>
        <v>282017.39</v>
      </c>
      <c r="P141" s="182">
        <f t="shared" si="8"/>
        <v>282017.39</v>
      </c>
    </row>
    <row r="142" spans="2:16" hidden="1">
      <c r="B142" s="193" t="s">
        <v>446</v>
      </c>
      <c r="C142" s="188" t="s">
        <v>224</v>
      </c>
      <c r="D142" s="182">
        <f>+SUMIF([1]tb!$B$1:$B$65536,$C142,[1]tb!$E$1:$E$65536)</f>
        <v>0</v>
      </c>
      <c r="E142" s="182">
        <f>+SUMIF([1]tb!$B$1:$B$65536,$C142,[1]tb!$G$1:$G$65536)</f>
        <v>0</v>
      </c>
      <c r="F142" s="182">
        <f>+SUMIF([1]tb!$B$1:$B$65536,$C142,[1]tb!$I$1:$I$65536)</f>
        <v>0</v>
      </c>
      <c r="G142" s="182">
        <f>+SUMIF([1]tb!$B$1:$B$65536,$C142,[1]tb!$K$1:$K$65536)</f>
        <v>0</v>
      </c>
      <c r="H142" s="182">
        <f>+SUMIF([1]tb!$B$1:$B$65536,$C142,[1]tb!$M$1:$M$65536)</f>
        <v>0</v>
      </c>
      <c r="I142" s="182">
        <f>+SUMIF([1]tb!$B$1:$B$65536,$C142,[1]tb!$O$1:$O$65536)</f>
        <v>0</v>
      </c>
      <c r="J142" s="182">
        <f>+SUMIF([1]tb!$B$1:$B$65536,$C142,[1]tb!$Q$1:$Q$65536)</f>
        <v>0</v>
      </c>
      <c r="K142" s="182">
        <f>+SUMIF([1]tb!$B$1:$B$65536,$C142,[1]tb!$S$1:$S$65536)</f>
        <v>0</v>
      </c>
      <c r="L142" s="182">
        <f>+SUMIF([1]tb!$B$1:$B$65536,$C142,[1]tb!$U$1:$U$65536)</f>
        <v>0</v>
      </c>
      <c r="M142" s="182">
        <f>+SUMIF([1]tb!$B$1:$B$65536,$C142,[1]tb!$W$1:$W$65536)</f>
        <v>0</v>
      </c>
      <c r="N142" s="182">
        <f>+SUMIF([1]tb!$B$1:$B$65536,$C142,[1]tb!$Y$1:$Y$65536)</f>
        <v>0</v>
      </c>
      <c r="O142" s="182">
        <f>+SUMIF([1]tb!$B$1:$B$65536,$C142,[1]tb!$AA$1:$AA$65536)</f>
        <v>0</v>
      </c>
      <c r="P142" s="182">
        <f t="shared" si="8"/>
        <v>0</v>
      </c>
    </row>
    <row r="143" spans="2:16">
      <c r="B143" s="193" t="s">
        <v>447</v>
      </c>
      <c r="C143" s="188" t="s">
        <v>225</v>
      </c>
      <c r="D143" s="182">
        <f>+SUMIF([1]tb!$B$1:$B$65536,$C143,[1]tb!$E$1:$E$65536)</f>
        <v>7066.07</v>
      </c>
      <c r="E143" s="182">
        <f>+SUMIF([1]tb!$B$1:$B$65536,$C143,[1]tb!$G$1:$G$65536)</f>
        <v>29132.14</v>
      </c>
      <c r="F143" s="182">
        <f>+SUMIF([1]tb!$B$1:$B$65536,$C143,[1]tb!$I$1:$I$65536)</f>
        <v>51198.21</v>
      </c>
      <c r="G143" s="182">
        <f>+SUMIF([1]tb!$B$1:$B$65536,$C143,[1]tb!$K$1:$K$65536)</f>
        <v>51198.21</v>
      </c>
      <c r="H143" s="182">
        <f>+SUMIF([1]tb!$B$1:$B$65536,$C143,[1]tb!$M$1:$M$65536)</f>
        <v>51198.21</v>
      </c>
      <c r="I143" s="182">
        <f>+SUMIF([1]tb!$B$1:$B$65536,$C143,[1]tb!$O$1:$O$65536)</f>
        <v>51198.21</v>
      </c>
      <c r="J143" s="182">
        <f>+SUMIF([1]tb!$B$1:$B$65536,$C143,[1]tb!$Q$1:$Q$65536)</f>
        <v>51198.21</v>
      </c>
      <c r="K143" s="182">
        <f>+SUMIF([1]tb!$B$1:$B$65536,$C143,[1]tb!$S$1:$S$65536)</f>
        <v>51198.21</v>
      </c>
      <c r="L143" s="182">
        <f>+SUMIF([1]tb!$B$1:$B$65536,$C143,[1]tb!$U$1:$U$65536)</f>
        <v>51198.21</v>
      </c>
      <c r="M143" s="182">
        <f>+SUMIF([1]tb!$B$1:$B$65536,$C143,[1]tb!$W$1:$W$65536)</f>
        <v>51198.21</v>
      </c>
      <c r="N143" s="182">
        <f>+SUMIF([1]tb!$B$1:$B$65536,$C143,[1]tb!$Y$1:$Y$65536)</f>
        <v>51198.21</v>
      </c>
      <c r="O143" s="182">
        <f>+SUMIF([1]tb!$B$1:$B$65536,$C143,[1]tb!$AA$1:$AA$65536)</f>
        <v>51198.21</v>
      </c>
      <c r="P143" s="182">
        <f t="shared" si="8"/>
        <v>51198.21</v>
      </c>
    </row>
    <row r="144" spans="2:16" hidden="1">
      <c r="B144" s="193" t="s">
        <v>448</v>
      </c>
      <c r="C144" s="188" t="s">
        <v>226</v>
      </c>
      <c r="D144" s="182">
        <f>+SUMIF([1]tb!$B$1:$B$65536,$C144,[1]tb!$E$1:$E$65536)</f>
        <v>0</v>
      </c>
      <c r="E144" s="182">
        <f>+SUMIF([1]tb!$B$1:$B$65536,$C144,[1]tb!$G$1:$G$65536)</f>
        <v>0</v>
      </c>
      <c r="F144" s="182">
        <f>+SUMIF([1]tb!$B$1:$B$65536,$C144,[1]tb!$I$1:$I$65536)</f>
        <v>0</v>
      </c>
      <c r="G144" s="182">
        <f>+SUMIF([1]tb!$B$1:$B$65536,$C144,[1]tb!$K$1:$K$65536)</f>
        <v>0</v>
      </c>
      <c r="H144" s="182">
        <f>+SUMIF([1]tb!$B$1:$B$65536,$C144,[1]tb!$M$1:$M$65536)</f>
        <v>0</v>
      </c>
      <c r="I144" s="182">
        <f>+SUMIF([1]tb!$B$1:$B$65536,$C144,[1]tb!$O$1:$O$65536)</f>
        <v>0</v>
      </c>
      <c r="J144" s="182">
        <f>+SUMIF([1]tb!$B$1:$B$65536,$C144,[1]tb!$Q$1:$Q$65536)</f>
        <v>0</v>
      </c>
      <c r="K144" s="182">
        <f>+SUMIF([1]tb!$B$1:$B$65536,$C144,[1]tb!$S$1:$S$65536)</f>
        <v>0</v>
      </c>
      <c r="L144" s="182">
        <f>+SUMIF([1]tb!$B$1:$B$65536,$C144,[1]tb!$U$1:$U$65536)</f>
        <v>0</v>
      </c>
      <c r="M144" s="182">
        <f>+SUMIF([1]tb!$B$1:$B$65536,$C144,[1]tb!$W$1:$W$65536)</f>
        <v>0</v>
      </c>
      <c r="N144" s="182">
        <f>+SUMIF([1]tb!$B$1:$B$65536,$C144,[1]tb!$Y$1:$Y$65536)</f>
        <v>0</v>
      </c>
      <c r="O144" s="182">
        <f>+SUMIF([1]tb!$B$1:$B$65536,$C144,[1]tb!$AA$1:$AA$65536)</f>
        <v>0</v>
      </c>
      <c r="P144" s="182">
        <f t="shared" si="8"/>
        <v>0</v>
      </c>
    </row>
    <row r="145" spans="1:16">
      <c r="B145" s="193" t="s">
        <v>449</v>
      </c>
      <c r="C145" s="188" t="s">
        <v>227</v>
      </c>
      <c r="D145" s="182">
        <f>+SUMIF([1]tb!$B$1:$B$65536,$C145,[1]tb!$E$1:$E$65536)</f>
        <v>9113.01</v>
      </c>
      <c r="E145" s="182">
        <f>+SUMIF([1]tb!$B$1:$B$65536,$C145,[1]tb!$G$1:$G$65536)</f>
        <v>18225.34</v>
      </c>
      <c r="F145" s="182">
        <f>+SUMIF([1]tb!$B$1:$B$65536,$C145,[1]tb!$I$1:$I$65536)</f>
        <v>27338.35</v>
      </c>
      <c r="G145" s="182">
        <f>+SUMIF([1]tb!$B$1:$B$65536,$C145,[1]tb!$K$1:$K$65536)</f>
        <v>27338.35</v>
      </c>
      <c r="H145" s="182">
        <f>+SUMIF([1]tb!$B$1:$B$65536,$C145,[1]tb!$M$1:$M$65536)</f>
        <v>27338.35</v>
      </c>
      <c r="I145" s="182">
        <f>+SUMIF([1]tb!$B$1:$B$65536,$C145,[1]tb!$O$1:$O$65536)</f>
        <v>27338.35</v>
      </c>
      <c r="J145" s="182">
        <f>+SUMIF([1]tb!$B$1:$B$65536,$C145,[1]tb!$Q$1:$Q$65536)</f>
        <v>27338.35</v>
      </c>
      <c r="K145" s="182">
        <f>+SUMIF([1]tb!$B$1:$B$65536,$C145,[1]tb!$S$1:$S$65536)</f>
        <v>27338.35</v>
      </c>
      <c r="L145" s="182">
        <f>+SUMIF([1]tb!$B$1:$B$65536,$C145,[1]tb!$U$1:$U$65536)</f>
        <v>27338.35</v>
      </c>
      <c r="M145" s="182">
        <f>+SUMIF([1]tb!$B$1:$B$65536,$C145,[1]tb!$W$1:$W$65536)</f>
        <v>27338.35</v>
      </c>
      <c r="N145" s="182">
        <f>+SUMIF([1]tb!$B$1:$B$65536,$C145,[1]tb!$Y$1:$Y$65536)</f>
        <v>27338.35</v>
      </c>
      <c r="O145" s="182">
        <f>+SUMIF([1]tb!$B$1:$B$65536,$C145,[1]tb!$AA$1:$AA$65536)</f>
        <v>27338.35</v>
      </c>
      <c r="P145" s="182">
        <f t="shared" si="8"/>
        <v>27338.35</v>
      </c>
    </row>
    <row r="146" spans="1:16" hidden="1">
      <c r="B146" s="193" t="s">
        <v>450</v>
      </c>
      <c r="C146" s="188" t="s">
        <v>228</v>
      </c>
      <c r="D146" s="182">
        <f>+SUMIF([1]tb!$B$1:$B$65536,$C146,[1]tb!$E$1:$E$65536)</f>
        <v>0</v>
      </c>
      <c r="E146" s="182">
        <f>+SUMIF([1]tb!$B$1:$B$65536,$C146,[1]tb!$G$1:$G$65536)</f>
        <v>0</v>
      </c>
      <c r="F146" s="182">
        <f>+SUMIF([1]tb!$B$1:$B$65536,$C146,[1]tb!$I$1:$I$65536)</f>
        <v>0</v>
      </c>
      <c r="G146" s="182">
        <f>+SUMIF([1]tb!$B$1:$B$65536,$C146,[1]tb!$K$1:$K$65536)</f>
        <v>0</v>
      </c>
      <c r="H146" s="182">
        <f>+SUMIF([1]tb!$B$1:$B$65536,$C146,[1]tb!$M$1:$M$65536)</f>
        <v>0</v>
      </c>
      <c r="I146" s="182">
        <f>+SUMIF([1]tb!$B$1:$B$65536,$C146,[1]tb!$O$1:$O$65536)</f>
        <v>0</v>
      </c>
      <c r="J146" s="182">
        <f>+SUMIF([1]tb!$B$1:$B$65536,$C146,[1]tb!$Q$1:$Q$65536)</f>
        <v>0</v>
      </c>
      <c r="K146" s="182">
        <f>+SUMIF([1]tb!$B$1:$B$65536,$C146,[1]tb!$S$1:$S$65536)</f>
        <v>0</v>
      </c>
      <c r="L146" s="182">
        <f>+SUMIF([1]tb!$B$1:$B$65536,$C146,[1]tb!$U$1:$U$65536)</f>
        <v>0</v>
      </c>
      <c r="M146" s="182">
        <f>+SUMIF([1]tb!$B$1:$B$65536,$C146,[1]tb!$W$1:$W$65536)</f>
        <v>0</v>
      </c>
      <c r="N146" s="182">
        <f>+SUMIF([1]tb!$B$1:$B$65536,$C146,[1]tb!$Y$1:$Y$65536)</f>
        <v>0</v>
      </c>
      <c r="O146" s="182">
        <f>+SUMIF([1]tb!$B$1:$B$65536,$C146,[1]tb!$AA$1:$AA$65536)</f>
        <v>0</v>
      </c>
      <c r="P146" s="182">
        <f t="shared" si="8"/>
        <v>0</v>
      </c>
    </row>
    <row r="147" spans="1:16">
      <c r="B147" s="193" t="s">
        <v>451</v>
      </c>
      <c r="C147" s="188" t="s">
        <v>229</v>
      </c>
      <c r="D147" s="182">
        <f>+SUMIF([1]tb!$B$1:$B$65536,$C147,[1]tb!$E$1:$E$65536)</f>
        <v>6789.25</v>
      </c>
      <c r="E147" s="182">
        <f>+SUMIF([1]tb!$B$1:$B$65536,$C147,[1]tb!$G$1:$G$65536)</f>
        <v>13578.51</v>
      </c>
      <c r="F147" s="182">
        <f>+SUMIF([1]tb!$B$1:$B$65536,$C147,[1]tb!$I$1:$I$65536)</f>
        <v>20367.86</v>
      </c>
      <c r="G147" s="182">
        <f>+SUMIF([1]tb!$B$1:$B$65536,$C147,[1]tb!$K$1:$K$65536)</f>
        <v>20367.86</v>
      </c>
      <c r="H147" s="182">
        <f>+SUMIF([1]tb!$B$1:$B$65536,$C147,[1]tb!$M$1:$M$65536)</f>
        <v>20367.86</v>
      </c>
      <c r="I147" s="182">
        <f>+SUMIF([1]tb!$B$1:$B$65536,$C147,[1]tb!$O$1:$O$65536)</f>
        <v>20367.86</v>
      </c>
      <c r="J147" s="182">
        <f>+SUMIF([1]tb!$B$1:$B$65536,$C147,[1]tb!$Q$1:$Q$65536)</f>
        <v>20367.86</v>
      </c>
      <c r="K147" s="182">
        <f>+SUMIF([1]tb!$B$1:$B$65536,$C147,[1]tb!$S$1:$S$65536)</f>
        <v>20367.86</v>
      </c>
      <c r="L147" s="182">
        <f>+SUMIF([1]tb!$B$1:$B$65536,$C147,[1]tb!$U$1:$U$65536)</f>
        <v>20367.86</v>
      </c>
      <c r="M147" s="182">
        <f>+SUMIF([1]tb!$B$1:$B$65536,$C147,[1]tb!$W$1:$W$65536)</f>
        <v>20367.86</v>
      </c>
      <c r="N147" s="182">
        <f>+SUMIF([1]tb!$B$1:$B$65536,$C147,[1]tb!$Y$1:$Y$65536)</f>
        <v>20367.86</v>
      </c>
      <c r="O147" s="182">
        <f>+SUMIF([1]tb!$B$1:$B$65536,$C147,[1]tb!$AA$1:$AA$65536)</f>
        <v>20367.86</v>
      </c>
      <c r="P147" s="182">
        <f t="shared" si="8"/>
        <v>20367.86</v>
      </c>
    </row>
    <row r="148" spans="1:16" ht="5.0999999999999996" customHeight="1">
      <c r="D148" s="182"/>
      <c r="E148" s="182"/>
      <c r="F148" s="182"/>
      <c r="G148" s="182"/>
      <c r="H148" s="182"/>
      <c r="I148" s="182"/>
      <c r="J148" s="182"/>
      <c r="K148" s="182"/>
      <c r="L148" s="182"/>
      <c r="M148" s="182"/>
      <c r="N148" s="182"/>
      <c r="O148" s="182"/>
      <c r="P148" s="182"/>
    </row>
    <row r="149" spans="1:16">
      <c r="B149" s="195" t="s">
        <v>694</v>
      </c>
      <c r="D149" s="196">
        <f>+SUM(D129:D148)</f>
        <v>167883.24</v>
      </c>
      <c r="E149" s="196">
        <f t="shared" ref="E149:P149" si="9">+SUM(E129:E148)</f>
        <v>350765.21</v>
      </c>
      <c r="F149" s="196">
        <f t="shared" si="9"/>
        <v>533648.54</v>
      </c>
      <c r="G149" s="196">
        <f t="shared" si="9"/>
        <v>533648.54</v>
      </c>
      <c r="H149" s="196">
        <f t="shared" si="9"/>
        <v>533648.54</v>
      </c>
      <c r="I149" s="196">
        <f t="shared" si="9"/>
        <v>533648.54</v>
      </c>
      <c r="J149" s="196">
        <f t="shared" si="9"/>
        <v>533648.54</v>
      </c>
      <c r="K149" s="196">
        <f t="shared" si="9"/>
        <v>533648.54</v>
      </c>
      <c r="L149" s="196">
        <f t="shared" si="9"/>
        <v>533648.54</v>
      </c>
      <c r="M149" s="196">
        <f t="shared" si="9"/>
        <v>533648.54</v>
      </c>
      <c r="N149" s="196">
        <f t="shared" si="9"/>
        <v>533648.54</v>
      </c>
      <c r="O149" s="196">
        <f t="shared" si="9"/>
        <v>533648.54</v>
      </c>
      <c r="P149" s="196">
        <f t="shared" si="9"/>
        <v>533648.54</v>
      </c>
    </row>
    <row r="150" spans="1:16" ht="5.0999999999999996" customHeight="1">
      <c r="D150" s="182"/>
      <c r="E150" s="182"/>
      <c r="F150" s="182"/>
      <c r="G150" s="182"/>
      <c r="H150" s="182"/>
      <c r="I150" s="182"/>
      <c r="J150" s="182"/>
      <c r="K150" s="182"/>
      <c r="L150" s="182"/>
      <c r="M150" s="182"/>
      <c r="N150" s="182"/>
      <c r="O150" s="182"/>
      <c r="P150" s="182"/>
    </row>
    <row r="151" spans="1:16">
      <c r="B151" s="198" t="s">
        <v>695</v>
      </c>
      <c r="D151" s="199">
        <f>+D149+D126+D74</f>
        <v>1844511.69</v>
      </c>
      <c r="E151" s="199">
        <f t="shared" ref="E151:P151" si="10">+E149+E126+E74</f>
        <v>4210031.43</v>
      </c>
      <c r="F151" s="199">
        <f t="shared" si="10"/>
        <v>6829783.0599999996</v>
      </c>
      <c r="G151" s="199">
        <f t="shared" si="10"/>
        <v>6829783.0599999996</v>
      </c>
      <c r="H151" s="199">
        <f t="shared" si="10"/>
        <v>6829783.0599999996</v>
      </c>
      <c r="I151" s="199">
        <f t="shared" si="10"/>
        <v>6829783.0599999996</v>
      </c>
      <c r="J151" s="199">
        <f t="shared" si="10"/>
        <v>6829783.0599999996</v>
      </c>
      <c r="K151" s="199">
        <f t="shared" si="10"/>
        <v>6829783.0599999996</v>
      </c>
      <c r="L151" s="199">
        <f t="shared" si="10"/>
        <v>6829783.0599999996</v>
      </c>
      <c r="M151" s="199">
        <f t="shared" si="10"/>
        <v>6829783.0599999996</v>
      </c>
      <c r="N151" s="199">
        <f t="shared" si="10"/>
        <v>6829783.0599999996</v>
      </c>
      <c r="O151" s="199">
        <f t="shared" si="10"/>
        <v>6829783.0599999996</v>
      </c>
      <c r="P151" s="199">
        <f t="shared" si="10"/>
        <v>6829783.0599999996</v>
      </c>
    </row>
    <row r="152" spans="1:16" ht="5.0999999999999996" customHeight="1">
      <c r="D152" s="182"/>
      <c r="E152" s="182"/>
      <c r="F152" s="182"/>
      <c r="G152" s="182"/>
      <c r="H152" s="182"/>
      <c r="I152" s="182"/>
      <c r="J152" s="182"/>
      <c r="K152" s="182"/>
      <c r="L152" s="182"/>
      <c r="M152" s="182"/>
      <c r="N152" s="182"/>
      <c r="O152" s="182"/>
      <c r="P152" s="182"/>
    </row>
    <row r="153" spans="1:16">
      <c r="B153" s="198" t="s">
        <v>696</v>
      </c>
      <c r="D153" s="199">
        <f>+D44-D151</f>
        <v>-1441196.69</v>
      </c>
      <c r="E153" s="199">
        <f t="shared" ref="E153:P153" si="11">+E44-E151</f>
        <v>-3377290.4299999997</v>
      </c>
      <c r="F153" s="199">
        <f t="shared" si="11"/>
        <v>-5558282.0599999996</v>
      </c>
      <c r="G153" s="199">
        <f t="shared" si="11"/>
        <v>-5558282.0599999996</v>
      </c>
      <c r="H153" s="199">
        <f t="shared" si="11"/>
        <v>-5558282.0599999996</v>
      </c>
      <c r="I153" s="199">
        <f t="shared" si="11"/>
        <v>-5558282.0599999996</v>
      </c>
      <c r="J153" s="199">
        <f t="shared" si="11"/>
        <v>-5558282.0599999996</v>
      </c>
      <c r="K153" s="199">
        <f t="shared" si="11"/>
        <v>-5558282.0599999996</v>
      </c>
      <c r="L153" s="199">
        <f t="shared" si="11"/>
        <v>-5558282.0599999996</v>
      </c>
      <c r="M153" s="199">
        <f t="shared" si="11"/>
        <v>-5558282.0599999996</v>
      </c>
      <c r="N153" s="199">
        <f t="shared" si="11"/>
        <v>-5558282.0599999996</v>
      </c>
      <c r="O153" s="199">
        <f t="shared" si="11"/>
        <v>-5558282.0599999996</v>
      </c>
      <c r="P153" s="199">
        <f t="shared" si="11"/>
        <v>-5558282.0599999996</v>
      </c>
    </row>
    <row r="154" spans="1:16" ht="5.0999999999999996" customHeight="1">
      <c r="D154" s="182"/>
      <c r="E154" s="182"/>
      <c r="F154" s="182"/>
      <c r="G154" s="182"/>
      <c r="H154" s="182"/>
      <c r="I154" s="182"/>
      <c r="J154" s="182"/>
      <c r="K154" s="182"/>
      <c r="L154" s="182"/>
      <c r="M154" s="182"/>
      <c r="N154" s="182"/>
      <c r="O154" s="182"/>
      <c r="P154" s="182"/>
    </row>
    <row r="155" spans="1:16">
      <c r="A155" s="191" t="s">
        <v>697</v>
      </c>
      <c r="D155" s="182"/>
      <c r="E155" s="182"/>
      <c r="F155" s="182"/>
      <c r="G155" s="182"/>
      <c r="H155" s="182"/>
      <c r="I155" s="182"/>
      <c r="J155" s="182"/>
      <c r="K155" s="182"/>
      <c r="L155" s="182"/>
      <c r="M155" s="182"/>
      <c r="N155" s="182"/>
      <c r="O155" s="182"/>
      <c r="P155" s="182"/>
    </row>
    <row r="156" spans="1:16" ht="5.0999999999999996" customHeight="1">
      <c r="D156" s="182"/>
      <c r="E156" s="182"/>
      <c r="F156" s="182"/>
      <c r="G156" s="182"/>
      <c r="H156" s="182"/>
      <c r="I156" s="182"/>
      <c r="J156" s="182"/>
      <c r="K156" s="182"/>
      <c r="L156" s="182"/>
      <c r="M156" s="182"/>
      <c r="N156" s="182"/>
      <c r="O156" s="182"/>
      <c r="P156" s="182"/>
    </row>
    <row r="157" spans="1:16">
      <c r="B157" s="193" t="s">
        <v>346</v>
      </c>
      <c r="C157" s="188" t="s">
        <v>124</v>
      </c>
      <c r="D157" s="182">
        <f>+SUMIF([1]tb!$B$1:$B$65536,$C157,[1]tb!$F$1:$F$65536)</f>
        <v>1695000</v>
      </c>
      <c r="E157" s="182">
        <f>+SUMIF([1]tb!$B$1:$B$65536,$C157,[1]tb!$H$1:$H$65536)</f>
        <v>3990988.82</v>
      </c>
      <c r="F157" s="182">
        <f>+SUMIF([1]tb!$B$1:$B$65536,$C157,[1]tb!$J$1:$J$65536)</f>
        <v>6367085.7000000002</v>
      </c>
      <c r="G157" s="182">
        <f>+SUMIF([1]tb!$B$1:$B$65536,$C157,[1]tb!$L$1:$L$65536)</f>
        <v>6367085.7000000002</v>
      </c>
      <c r="H157" s="182">
        <f>+SUMIF([1]tb!$B$1:$B$65536,$C157,[1]tb!$N$1:$N$65536)</f>
        <v>6367085.7000000002</v>
      </c>
      <c r="I157" s="182">
        <f>+SUMIF([1]tb!$B$1:$B$65536,$C157,[1]tb!$P$1:$P$65536)</f>
        <v>6367085.7000000002</v>
      </c>
      <c r="J157" s="182">
        <f>+SUMIF([1]tb!$B$1:$B$65536,$C157,[1]tb!$R$1:$R$65536)</f>
        <v>6367085.7000000002</v>
      </c>
      <c r="K157" s="182">
        <f>+SUMIF([1]tb!$B$1:$B$65536,$C157,[1]tb!$T$1:$T$65536)</f>
        <v>6367085.7000000002</v>
      </c>
      <c r="L157" s="182">
        <f>+SUMIF([1]tb!$B$1:$B$65536,$C157,[1]tb!$V$1:$V$65536)</f>
        <v>6367085.7000000002</v>
      </c>
      <c r="M157" s="182">
        <f>+SUMIF([1]tb!$B$1:$B$65536,$C157,[1]tb!$X$1:$X$65536)</f>
        <v>6367085.7000000002</v>
      </c>
      <c r="N157" s="182">
        <f>+SUMIF([1]tb!$B$1:$B$65536,$C157,[1]tb!$Z$1:$Z$65536)</f>
        <v>6367085.7000000002</v>
      </c>
      <c r="O157" s="182">
        <f>+SUMIF([1]tb!$B$1:$B$65536,$C157,[1]tb!$AB$1:$AB$65536)</f>
        <v>6367085.7000000002</v>
      </c>
      <c r="P157" s="182">
        <f>+O157</f>
        <v>6367085.7000000002</v>
      </c>
    </row>
    <row r="158" spans="1:16">
      <c r="B158" s="193" t="s">
        <v>347</v>
      </c>
      <c r="C158" s="188" t="s">
        <v>125</v>
      </c>
      <c r="D158" s="182">
        <f>+SUMIF([1]tb!$B$1:$B$65536,$C158,[1]tb!$F$1:$F$65536)</f>
        <v>0</v>
      </c>
      <c r="E158" s="182">
        <f>+SUMIF([1]tb!$B$1:$B$65536,$C158,[1]tb!$H$1:$H$65536)</f>
        <v>0</v>
      </c>
      <c r="F158" s="182">
        <f>+SUMIF([1]tb!$B$1:$B$65536,$C158,[1]tb!$J$1:$J$65536)</f>
        <v>0</v>
      </c>
      <c r="G158" s="182">
        <f>+SUMIF([1]tb!$B$1:$B$65536,$C158,[1]tb!$L$1:$L$65536)</f>
        <v>0</v>
      </c>
      <c r="H158" s="182">
        <f>+SUMIF([1]tb!$B$1:$B$65536,$C158,[1]tb!$N$1:$N$65536)</f>
        <v>0</v>
      </c>
      <c r="I158" s="182">
        <f>+SUMIF([1]tb!$B$1:$B$65536,$C158,[1]tb!$P$1:$P$65536)</f>
        <v>0</v>
      </c>
      <c r="J158" s="182">
        <f>+SUMIF([1]tb!$B$1:$B$65536,$C158,[1]tb!$R$1:$R$65536)</f>
        <v>0</v>
      </c>
      <c r="K158" s="182">
        <f>+SUMIF([1]tb!$B$1:$B$65536,$C158,[1]tb!$T$1:$T$65536)</f>
        <v>0</v>
      </c>
      <c r="L158" s="182">
        <f>+SUMIF([1]tb!$B$1:$B$65536,$C158,[1]tb!$V$1:$V$65536)</f>
        <v>0</v>
      </c>
      <c r="M158" s="182">
        <f>+SUMIF([1]tb!$B$1:$B$65536,$C158,[1]tb!$X$1:$X$65536)</f>
        <v>0</v>
      </c>
      <c r="N158" s="182">
        <f>+SUMIF([1]tb!$B$1:$B$65536,$C158,[1]tb!$Z$1:$Z$65536)</f>
        <v>0</v>
      </c>
      <c r="O158" s="182">
        <f>+SUMIF([1]tb!$B$1:$B$65536,$C158,[1]tb!$AB$1:$AB$65536)</f>
        <v>0</v>
      </c>
      <c r="P158" s="182">
        <f>+O158</f>
        <v>0</v>
      </c>
    </row>
    <row r="159" spans="1:16">
      <c r="B159" s="193" t="s">
        <v>349</v>
      </c>
      <c r="C159" s="188" t="s">
        <v>127</v>
      </c>
      <c r="D159" s="182">
        <f>+SUMIF([1]tb!$B$1:$B$65536,$C159,[1]tb!$F$1:$F$65536)</f>
        <v>0</v>
      </c>
      <c r="E159" s="182">
        <f>+SUMIF([1]tb!$B$1:$B$65536,$C159,[1]tb!$H$1:$H$65536)</f>
        <v>0</v>
      </c>
      <c r="F159" s="182">
        <f>+SUMIF([1]tb!$B$1:$B$65536,$C159,[1]tb!$J$1:$J$65536)</f>
        <v>0</v>
      </c>
      <c r="G159" s="182">
        <f>+SUMIF([1]tb!$B$1:$B$65536,$C159,[1]tb!$L$1:$L$65536)</f>
        <v>0</v>
      </c>
      <c r="H159" s="182">
        <f>+SUMIF([1]tb!$B$1:$B$65536,$C159,[1]tb!$N$1:$N$65536)</f>
        <v>0</v>
      </c>
      <c r="I159" s="182">
        <f>+SUMIF([1]tb!$B$1:$B$65536,$C159,[1]tb!$P$1:$P$65536)</f>
        <v>0</v>
      </c>
      <c r="J159" s="182">
        <f>+SUMIF([1]tb!$B$1:$B$65536,$C159,[1]tb!$R$1:$R$65536)</f>
        <v>0</v>
      </c>
      <c r="K159" s="182">
        <f>+SUMIF([1]tb!$B$1:$B$65536,$C159,[1]tb!$T$1:$T$65536)</f>
        <v>0</v>
      </c>
      <c r="L159" s="182">
        <f>+SUMIF([1]tb!$B$1:$B$65536,$C159,[1]tb!$V$1:$V$65536)</f>
        <v>0</v>
      </c>
      <c r="M159" s="182">
        <f>+SUMIF([1]tb!$B$1:$B$65536,$C159,[1]tb!$X$1:$X$65536)</f>
        <v>0</v>
      </c>
      <c r="N159" s="182">
        <f>+SUMIF([1]tb!$B$1:$B$65536,$C159,[1]tb!$Z$1:$Z$65536)</f>
        <v>0</v>
      </c>
      <c r="O159" s="182">
        <f>+SUMIF([1]tb!$B$1:$B$65536,$C159,[1]tb!$AB$1:$AB$65536)</f>
        <v>0</v>
      </c>
      <c r="P159" s="182">
        <f>+O159</f>
        <v>0</v>
      </c>
    </row>
    <row r="160" spans="1:16" ht="5.0999999999999996" customHeight="1">
      <c r="D160" s="182"/>
      <c r="E160" s="182"/>
      <c r="F160" s="182"/>
      <c r="G160" s="182"/>
      <c r="H160" s="182"/>
      <c r="I160" s="182"/>
      <c r="J160" s="182"/>
      <c r="K160" s="182"/>
      <c r="L160" s="182"/>
      <c r="M160" s="182"/>
      <c r="N160" s="182"/>
      <c r="O160" s="182"/>
      <c r="P160" s="182"/>
    </row>
    <row r="161" spans="2:16">
      <c r="B161" s="195" t="s">
        <v>698</v>
      </c>
      <c r="D161" s="196">
        <f>+SUM(D156:D160)</f>
        <v>1695000</v>
      </c>
      <c r="E161" s="196">
        <f t="shared" ref="E161:P161" si="12">+SUM(E156:E160)</f>
        <v>3990988.82</v>
      </c>
      <c r="F161" s="196">
        <f t="shared" si="12"/>
        <v>6367085.7000000002</v>
      </c>
      <c r="G161" s="196">
        <f t="shared" si="12"/>
        <v>6367085.7000000002</v>
      </c>
      <c r="H161" s="196">
        <f t="shared" si="12"/>
        <v>6367085.7000000002</v>
      </c>
      <c r="I161" s="196">
        <f t="shared" si="12"/>
        <v>6367085.7000000002</v>
      </c>
      <c r="J161" s="196">
        <f t="shared" si="12"/>
        <v>6367085.7000000002</v>
      </c>
      <c r="K161" s="196">
        <f t="shared" si="12"/>
        <v>6367085.7000000002</v>
      </c>
      <c r="L161" s="196">
        <f t="shared" si="12"/>
        <v>6367085.7000000002</v>
      </c>
      <c r="M161" s="196">
        <f t="shared" si="12"/>
        <v>6367085.7000000002</v>
      </c>
      <c r="N161" s="196">
        <f t="shared" si="12"/>
        <v>6367085.7000000002</v>
      </c>
      <c r="O161" s="196">
        <f t="shared" si="12"/>
        <v>6367085.7000000002</v>
      </c>
      <c r="P161" s="196">
        <f t="shared" si="12"/>
        <v>6367085.7000000002</v>
      </c>
    </row>
    <row r="162" spans="2:16" ht="5.0999999999999996" customHeight="1">
      <c r="D162" s="182"/>
      <c r="E162" s="182"/>
      <c r="F162" s="182"/>
      <c r="G162" s="182"/>
      <c r="H162" s="182"/>
      <c r="I162" s="182"/>
      <c r="J162" s="182"/>
      <c r="K162" s="182"/>
      <c r="L162" s="182"/>
      <c r="M162" s="182"/>
      <c r="N162" s="182"/>
      <c r="O162" s="182"/>
      <c r="P162" s="182"/>
    </row>
    <row r="163" spans="2:16" ht="13.5" thickBot="1">
      <c r="B163" s="198" t="s">
        <v>699</v>
      </c>
      <c r="D163" s="200">
        <f>+D153+D161</f>
        <v>253803.31000000006</v>
      </c>
      <c r="E163" s="200">
        <f t="shared" ref="E163:P163" si="13">+E153+E161</f>
        <v>613698.39000000013</v>
      </c>
      <c r="F163" s="200">
        <f t="shared" si="13"/>
        <v>808803.6400000006</v>
      </c>
      <c r="G163" s="200">
        <f t="shared" si="13"/>
        <v>808803.6400000006</v>
      </c>
      <c r="H163" s="200">
        <f t="shared" si="13"/>
        <v>808803.6400000006</v>
      </c>
      <c r="I163" s="200">
        <f t="shared" si="13"/>
        <v>808803.6400000006</v>
      </c>
      <c r="J163" s="200">
        <f t="shared" si="13"/>
        <v>808803.6400000006</v>
      </c>
      <c r="K163" s="200">
        <f t="shared" si="13"/>
        <v>808803.6400000006</v>
      </c>
      <c r="L163" s="200">
        <f t="shared" si="13"/>
        <v>808803.6400000006</v>
      </c>
      <c r="M163" s="200">
        <f t="shared" si="13"/>
        <v>808803.6400000006</v>
      </c>
      <c r="N163" s="200">
        <f t="shared" si="13"/>
        <v>808803.6400000006</v>
      </c>
      <c r="O163" s="200">
        <f t="shared" si="13"/>
        <v>808803.6400000006</v>
      </c>
      <c r="P163" s="200">
        <f t="shared" si="13"/>
        <v>808803.6400000006</v>
      </c>
    </row>
    <row r="164" spans="2:16" ht="5.0999999999999996" customHeight="1" thickTop="1">
      <c r="D164" s="182"/>
      <c r="E164" s="182"/>
      <c r="F164" s="182"/>
      <c r="G164" s="182"/>
      <c r="H164" s="182"/>
      <c r="I164" s="182"/>
      <c r="J164" s="182"/>
      <c r="K164" s="182"/>
      <c r="L164" s="182"/>
      <c r="M164" s="182"/>
      <c r="N164" s="182"/>
      <c r="O164" s="182"/>
      <c r="P164" s="182"/>
    </row>
    <row r="165" spans="2:16">
      <c r="D165" s="182"/>
      <c r="E165" s="182"/>
      <c r="F165" s="182"/>
      <c r="G165" s="182"/>
      <c r="H165" s="182"/>
      <c r="I165" s="182"/>
      <c r="J165" s="182"/>
      <c r="K165" s="182"/>
      <c r="L165" s="182"/>
      <c r="M165" s="182"/>
      <c r="N165" s="182"/>
      <c r="O165" s="182"/>
      <c r="P165" s="182"/>
    </row>
    <row r="168" spans="2:16" ht="15">
      <c r="B168" s="257" t="s">
        <v>506</v>
      </c>
    </row>
    <row r="169" spans="2:16" ht="15">
      <c r="B169" s="257"/>
    </row>
    <row r="170" spans="2:16" ht="15">
      <c r="B170" s="257"/>
    </row>
    <row r="171" spans="2:16" ht="15">
      <c r="B171" s="258" t="s">
        <v>738</v>
      </c>
    </row>
    <row r="172" spans="2:16" ht="15">
      <c r="B172" s="257" t="s">
        <v>508</v>
      </c>
    </row>
  </sheetData>
  <mergeCells count="7">
    <mergeCell ref="A7:P7"/>
    <mergeCell ref="A4:P4"/>
    <mergeCell ref="A1:P1"/>
    <mergeCell ref="A2:P2"/>
    <mergeCell ref="A3:P3"/>
    <mergeCell ref="A5:P5"/>
    <mergeCell ref="A6:P6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7"/>
  <sheetViews>
    <sheetView topLeftCell="A16" workbookViewId="0">
      <selection activeCell="B33" sqref="B33:B37"/>
    </sheetView>
  </sheetViews>
  <sheetFormatPr defaultRowHeight="12.75" outlineLevelCol="1"/>
  <cols>
    <col min="1" max="1" width="5.7109375" style="181" customWidth="1"/>
    <col min="2" max="2" width="64.140625" style="181" bestFit="1" customWidth="1"/>
    <col min="3" max="3" width="2.7109375" style="188" customWidth="1"/>
    <col min="4" max="15" width="15.7109375" style="181" hidden="1" customWidth="1" outlineLevel="1"/>
    <col min="16" max="16" width="15.7109375" style="182" customWidth="1" collapsed="1"/>
    <col min="17" max="16384" width="9.140625" style="181"/>
  </cols>
  <sheetData>
    <row r="1" spans="1:16">
      <c r="A1" s="318" t="s">
        <v>667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</row>
    <row r="2" spans="1:16">
      <c r="A2" s="319" t="s">
        <v>668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</row>
    <row r="3" spans="1:16">
      <c r="A3" s="318" t="s">
        <v>669</v>
      </c>
      <c r="B3" s="318"/>
      <c r="C3" s="318"/>
      <c r="D3" s="318"/>
      <c r="E3" s="318"/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</row>
    <row r="4" spans="1:16" ht="5.0999999999999996" customHeight="1">
      <c r="A4" s="187"/>
    </row>
    <row r="5" spans="1:16">
      <c r="A5" s="318" t="s">
        <v>702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318"/>
      <c r="P5" s="318"/>
    </row>
    <row r="6" spans="1:16">
      <c r="A6" s="318" t="s">
        <v>700</v>
      </c>
      <c r="B6" s="318"/>
      <c r="C6" s="318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318"/>
      <c r="P6" s="318"/>
    </row>
    <row r="7" spans="1:16" ht="5.0999999999999996" customHeight="1">
      <c r="A7" s="318"/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</row>
    <row r="8" spans="1:16">
      <c r="D8" s="189">
        <v>42400</v>
      </c>
      <c r="E8" s="189">
        <v>42429</v>
      </c>
      <c r="F8" s="189">
        <v>42460</v>
      </c>
      <c r="G8" s="189">
        <v>42490</v>
      </c>
      <c r="H8" s="189">
        <v>42521</v>
      </c>
      <c r="I8" s="189">
        <v>42551</v>
      </c>
      <c r="J8" s="189">
        <v>42582</v>
      </c>
      <c r="K8" s="189">
        <v>42613</v>
      </c>
      <c r="L8" s="189">
        <v>42643</v>
      </c>
      <c r="M8" s="189">
        <v>42674</v>
      </c>
      <c r="N8" s="189">
        <v>42704</v>
      </c>
      <c r="O8" s="189">
        <v>42735</v>
      </c>
      <c r="P8" s="202"/>
    </row>
    <row r="9" spans="1:16">
      <c r="A9" s="191" t="s">
        <v>681</v>
      </c>
    </row>
    <row r="10" spans="1:16" ht="5.0999999999999996" customHeight="1"/>
    <row r="11" spans="1:16">
      <c r="B11" s="181" t="s">
        <v>682</v>
      </c>
      <c r="C11" s="192"/>
      <c r="D11" s="182">
        <f>+[1]sfper!D32</f>
        <v>403315</v>
      </c>
      <c r="E11" s="182">
        <f>+[1]sfper!E32</f>
        <v>832741</v>
      </c>
      <c r="F11" s="182">
        <f>+[1]sfper!F32</f>
        <v>1271501</v>
      </c>
      <c r="G11" s="182">
        <f>+[1]sfper!G32</f>
        <v>1271501</v>
      </c>
      <c r="H11" s="182">
        <f>+[1]sfper!H32</f>
        <v>1271501</v>
      </c>
      <c r="I11" s="182">
        <f>+[1]sfper!I32</f>
        <v>1271501</v>
      </c>
      <c r="J11" s="182">
        <f>+[1]sfper!J32</f>
        <v>1271501</v>
      </c>
      <c r="K11" s="182">
        <f>+[1]sfper!K32</f>
        <v>1271501</v>
      </c>
      <c r="L11" s="182">
        <f>+[1]sfper!L32</f>
        <v>1271501</v>
      </c>
      <c r="M11" s="182">
        <f>+[1]sfper!M32</f>
        <v>1271501</v>
      </c>
      <c r="N11" s="182">
        <f>+[1]sfper!N32</f>
        <v>1271501</v>
      </c>
      <c r="O11" s="182">
        <f>+[1]sfper!O32</f>
        <v>1271501</v>
      </c>
      <c r="P11" s="182">
        <f>+O11</f>
        <v>1271501</v>
      </c>
    </row>
    <row r="12" spans="1:16">
      <c r="B12" s="181" t="s">
        <v>685</v>
      </c>
      <c r="C12" s="192"/>
      <c r="D12" s="182"/>
      <c r="E12" s="182"/>
      <c r="F12" s="182"/>
      <c r="G12" s="182"/>
      <c r="H12" s="182"/>
      <c r="I12" s="182"/>
      <c r="J12" s="182"/>
      <c r="K12" s="182"/>
      <c r="L12" s="182"/>
      <c r="M12" s="182"/>
      <c r="N12" s="182"/>
      <c r="O12" s="182"/>
      <c r="P12" s="182">
        <f>+O12</f>
        <v>0</v>
      </c>
    </row>
    <row r="13" spans="1:16" ht="5.0999999999999996" customHeight="1">
      <c r="C13" s="192"/>
      <c r="D13" s="182"/>
      <c r="E13" s="182"/>
      <c r="F13" s="182"/>
      <c r="G13" s="182"/>
      <c r="H13" s="182"/>
      <c r="I13" s="182"/>
      <c r="J13" s="182"/>
      <c r="K13" s="182"/>
      <c r="L13" s="182"/>
      <c r="M13" s="182"/>
      <c r="N13" s="182"/>
      <c r="O13" s="182"/>
    </row>
    <row r="14" spans="1:16">
      <c r="B14" s="198" t="s">
        <v>687</v>
      </c>
      <c r="C14" s="192"/>
      <c r="D14" s="196">
        <f>+SUM(D10:D13)</f>
        <v>403315</v>
      </c>
      <c r="E14" s="196">
        <f t="shared" ref="E14:P14" si="0">+SUM(E10:E13)</f>
        <v>832741</v>
      </c>
      <c r="F14" s="196">
        <f t="shared" si="0"/>
        <v>1271501</v>
      </c>
      <c r="G14" s="196">
        <f t="shared" si="0"/>
        <v>1271501</v>
      </c>
      <c r="H14" s="196">
        <f t="shared" si="0"/>
        <v>1271501</v>
      </c>
      <c r="I14" s="196">
        <f t="shared" si="0"/>
        <v>1271501</v>
      </c>
      <c r="J14" s="196">
        <f t="shared" si="0"/>
        <v>1271501</v>
      </c>
      <c r="K14" s="196">
        <f t="shared" si="0"/>
        <v>1271501</v>
      </c>
      <c r="L14" s="196">
        <f t="shared" si="0"/>
        <v>1271501</v>
      </c>
      <c r="M14" s="196">
        <f t="shared" si="0"/>
        <v>1271501</v>
      </c>
      <c r="N14" s="196">
        <f t="shared" si="0"/>
        <v>1271501</v>
      </c>
      <c r="O14" s="196">
        <f t="shared" si="0"/>
        <v>1271501</v>
      </c>
      <c r="P14" s="196">
        <f t="shared" si="0"/>
        <v>1271501</v>
      </c>
    </row>
    <row r="15" spans="1:16" ht="5.0999999999999996" customHeight="1">
      <c r="C15" s="19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</row>
    <row r="16" spans="1:16">
      <c r="A16" s="191" t="s">
        <v>688</v>
      </c>
      <c r="C16" s="19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</row>
    <row r="17" spans="1:16" ht="5.0999999999999996" customHeight="1">
      <c r="C17" s="19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</row>
    <row r="18" spans="1:16">
      <c r="B18" s="181" t="s">
        <v>689</v>
      </c>
      <c r="C18" s="192"/>
      <c r="D18" s="182">
        <f>+[1]sfper!D74</f>
        <v>1256675.04</v>
      </c>
      <c r="E18" s="182">
        <f>+[1]sfper!E74</f>
        <v>2739644.48</v>
      </c>
      <c r="F18" s="182">
        <f>+[1]sfper!F74</f>
        <v>4343959.6399999997</v>
      </c>
      <c r="G18" s="182">
        <f>+[1]sfper!G74</f>
        <v>4343959.6399999997</v>
      </c>
      <c r="H18" s="182">
        <f>+[1]sfper!H74</f>
        <v>4343959.6399999997</v>
      </c>
      <c r="I18" s="182">
        <f>+[1]sfper!I74</f>
        <v>4343959.6399999997</v>
      </c>
      <c r="J18" s="182">
        <f>+[1]sfper!J74</f>
        <v>4343959.6399999997</v>
      </c>
      <c r="K18" s="182">
        <f>+[1]sfper!K74</f>
        <v>4343959.6399999997</v>
      </c>
      <c r="L18" s="182">
        <f>+[1]sfper!L74</f>
        <v>4343959.6399999997</v>
      </c>
      <c r="M18" s="182">
        <f>+[1]sfper!M74</f>
        <v>4343959.6399999997</v>
      </c>
      <c r="N18" s="182">
        <f>+[1]sfper!N74</f>
        <v>4343959.6399999997</v>
      </c>
      <c r="O18" s="182">
        <f>+[1]sfper!O74</f>
        <v>4343959.6399999997</v>
      </c>
      <c r="P18" s="182">
        <f>+O18</f>
        <v>4343959.6399999997</v>
      </c>
    </row>
    <row r="19" spans="1:16">
      <c r="B19" s="181" t="s">
        <v>691</v>
      </c>
      <c r="D19" s="182">
        <f>+[1]sfper!D126</f>
        <v>419953.41</v>
      </c>
      <c r="E19" s="182">
        <f>+[1]sfper!E126</f>
        <v>1119621.7399999998</v>
      </c>
      <c r="F19" s="182">
        <f>+[1]sfper!F126</f>
        <v>1952174.88</v>
      </c>
      <c r="G19" s="182">
        <f>+[1]sfper!G126</f>
        <v>1952174.88</v>
      </c>
      <c r="H19" s="182">
        <f>+[1]sfper!H126</f>
        <v>1952174.88</v>
      </c>
      <c r="I19" s="182">
        <f>+[1]sfper!I126</f>
        <v>1952174.88</v>
      </c>
      <c r="J19" s="182">
        <f>+[1]sfper!J126</f>
        <v>1952174.88</v>
      </c>
      <c r="K19" s="182">
        <f>+[1]sfper!K126</f>
        <v>1952174.88</v>
      </c>
      <c r="L19" s="182">
        <f>+[1]sfper!L126</f>
        <v>1952174.88</v>
      </c>
      <c r="M19" s="182">
        <f>+[1]sfper!M126</f>
        <v>1952174.88</v>
      </c>
      <c r="N19" s="182">
        <f>+[1]sfper!N126</f>
        <v>1952174.88</v>
      </c>
      <c r="O19" s="182">
        <f>+[1]sfper!O126</f>
        <v>1952174.88</v>
      </c>
      <c r="P19" s="182">
        <f>+O19</f>
        <v>1952174.88</v>
      </c>
    </row>
    <row r="20" spans="1:16">
      <c r="B20" s="181" t="s">
        <v>693</v>
      </c>
      <c r="D20" s="182">
        <f>+[1]sfper!D149</f>
        <v>167883.24</v>
      </c>
      <c r="E20" s="182">
        <f>+[1]sfper!E149</f>
        <v>350765.21</v>
      </c>
      <c r="F20" s="182">
        <f>+[1]sfper!F149</f>
        <v>533648.54</v>
      </c>
      <c r="G20" s="182">
        <f>+[1]sfper!G149</f>
        <v>533648.54</v>
      </c>
      <c r="H20" s="182">
        <f>+[1]sfper!H149</f>
        <v>533648.54</v>
      </c>
      <c r="I20" s="182">
        <f>+[1]sfper!I149</f>
        <v>533648.54</v>
      </c>
      <c r="J20" s="182">
        <f>+[1]sfper!J149</f>
        <v>533648.54</v>
      </c>
      <c r="K20" s="182">
        <f>+[1]sfper!K149</f>
        <v>533648.54</v>
      </c>
      <c r="L20" s="182">
        <f>+[1]sfper!L149</f>
        <v>533648.54</v>
      </c>
      <c r="M20" s="182">
        <f>+[1]sfper!M149</f>
        <v>533648.54</v>
      </c>
      <c r="N20" s="182">
        <f>+[1]sfper!N149</f>
        <v>533648.54</v>
      </c>
      <c r="O20" s="182">
        <f>+[1]sfper!O149</f>
        <v>533648.54</v>
      </c>
      <c r="P20" s="182">
        <f>+O20</f>
        <v>533648.54</v>
      </c>
    </row>
    <row r="21" spans="1:16" ht="5.0999999999999996" customHeight="1"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</row>
    <row r="22" spans="1:16">
      <c r="B22" s="198" t="s">
        <v>695</v>
      </c>
      <c r="D22" s="196">
        <f>+SUM(D17:D21)</f>
        <v>1844511.69</v>
      </c>
      <c r="E22" s="196">
        <f t="shared" ref="E22:P22" si="1">+SUM(E17:E21)</f>
        <v>4210031.43</v>
      </c>
      <c r="F22" s="196">
        <f t="shared" si="1"/>
        <v>6829783.0599999996</v>
      </c>
      <c r="G22" s="196">
        <f t="shared" si="1"/>
        <v>6829783.0599999996</v>
      </c>
      <c r="H22" s="196">
        <f t="shared" si="1"/>
        <v>6829783.0599999996</v>
      </c>
      <c r="I22" s="196">
        <f t="shared" si="1"/>
        <v>6829783.0599999996</v>
      </c>
      <c r="J22" s="196">
        <f t="shared" si="1"/>
        <v>6829783.0599999996</v>
      </c>
      <c r="K22" s="196">
        <f t="shared" si="1"/>
        <v>6829783.0599999996</v>
      </c>
      <c r="L22" s="196">
        <f t="shared" si="1"/>
        <v>6829783.0599999996</v>
      </c>
      <c r="M22" s="196">
        <f t="shared" si="1"/>
        <v>6829783.0599999996</v>
      </c>
      <c r="N22" s="196">
        <f t="shared" si="1"/>
        <v>6829783.0599999996</v>
      </c>
      <c r="O22" s="196">
        <f t="shared" si="1"/>
        <v>6829783.0599999996</v>
      </c>
      <c r="P22" s="196">
        <f t="shared" si="1"/>
        <v>6829783.0599999996</v>
      </c>
    </row>
    <row r="23" spans="1:16" ht="5.0999999999999996" customHeight="1"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</row>
    <row r="24" spans="1:16">
      <c r="B24" s="198" t="s">
        <v>696</v>
      </c>
      <c r="D24" s="199">
        <f t="shared" ref="D24:P24" si="2">+D14-D22</f>
        <v>-1441196.69</v>
      </c>
      <c r="E24" s="199">
        <f t="shared" si="2"/>
        <v>-3377290.4299999997</v>
      </c>
      <c r="F24" s="199">
        <f t="shared" si="2"/>
        <v>-5558282.0599999996</v>
      </c>
      <c r="G24" s="199">
        <f t="shared" si="2"/>
        <v>-5558282.0599999996</v>
      </c>
      <c r="H24" s="199">
        <f t="shared" si="2"/>
        <v>-5558282.0599999996</v>
      </c>
      <c r="I24" s="199">
        <f t="shared" si="2"/>
        <v>-5558282.0599999996</v>
      </c>
      <c r="J24" s="199">
        <f t="shared" si="2"/>
        <v>-5558282.0599999996</v>
      </c>
      <c r="K24" s="199">
        <f t="shared" si="2"/>
        <v>-5558282.0599999996</v>
      </c>
      <c r="L24" s="199">
        <f t="shared" si="2"/>
        <v>-5558282.0599999996</v>
      </c>
      <c r="M24" s="199">
        <f t="shared" si="2"/>
        <v>-5558282.0599999996</v>
      </c>
      <c r="N24" s="199">
        <f t="shared" si="2"/>
        <v>-5558282.0599999996</v>
      </c>
      <c r="O24" s="199">
        <f t="shared" si="2"/>
        <v>-5558282.0599999996</v>
      </c>
      <c r="P24" s="199">
        <f t="shared" si="2"/>
        <v>-5558282.0599999996</v>
      </c>
    </row>
    <row r="25" spans="1:16" ht="5.0999999999999996" customHeight="1"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</row>
    <row r="26" spans="1:16">
      <c r="A26" s="203" t="s">
        <v>703</v>
      </c>
      <c r="B26" s="203"/>
      <c r="D26" s="196">
        <f>+[1]sfper!D161</f>
        <v>1695000</v>
      </c>
      <c r="E26" s="196">
        <f>+[1]sfper!E161</f>
        <v>3990988.82</v>
      </c>
      <c r="F26" s="196">
        <f>+[1]sfper!F161</f>
        <v>6367085.7000000002</v>
      </c>
      <c r="G26" s="196">
        <f>+[1]sfper!G161</f>
        <v>6367085.7000000002</v>
      </c>
      <c r="H26" s="196">
        <f>+[1]sfper!H161</f>
        <v>6367085.7000000002</v>
      </c>
      <c r="I26" s="196">
        <f>+[1]sfper!I161</f>
        <v>6367085.7000000002</v>
      </c>
      <c r="J26" s="196">
        <f>+[1]sfper!J161</f>
        <v>6367085.7000000002</v>
      </c>
      <c r="K26" s="196">
        <f>+[1]sfper!K161</f>
        <v>6367085.7000000002</v>
      </c>
      <c r="L26" s="196">
        <f>+[1]sfper!L161</f>
        <v>6367085.7000000002</v>
      </c>
      <c r="M26" s="196">
        <f>+[1]sfper!M161</f>
        <v>6367085.7000000002</v>
      </c>
      <c r="N26" s="196">
        <f>+[1]sfper!N161</f>
        <v>6367085.7000000002</v>
      </c>
      <c r="O26" s="196">
        <f>+[1]sfper!O161</f>
        <v>6367085.7000000002</v>
      </c>
      <c r="P26" s="196">
        <f>+O26</f>
        <v>6367085.7000000002</v>
      </c>
    </row>
    <row r="27" spans="1:16" ht="5.0999999999999996" customHeight="1"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</row>
    <row r="28" spans="1:16" ht="13.5" thickBot="1">
      <c r="B28" s="198" t="s">
        <v>699</v>
      </c>
      <c r="D28" s="200">
        <f t="shared" ref="D28:P28" si="3">+D24+D26</f>
        <v>253803.31000000006</v>
      </c>
      <c r="E28" s="200">
        <f t="shared" si="3"/>
        <v>613698.39000000013</v>
      </c>
      <c r="F28" s="200">
        <f t="shared" si="3"/>
        <v>808803.6400000006</v>
      </c>
      <c r="G28" s="200">
        <f t="shared" si="3"/>
        <v>808803.6400000006</v>
      </c>
      <c r="H28" s="200">
        <f t="shared" si="3"/>
        <v>808803.6400000006</v>
      </c>
      <c r="I28" s="200">
        <f t="shared" si="3"/>
        <v>808803.6400000006</v>
      </c>
      <c r="J28" s="200">
        <f t="shared" si="3"/>
        <v>808803.6400000006</v>
      </c>
      <c r="K28" s="200">
        <f t="shared" si="3"/>
        <v>808803.6400000006</v>
      </c>
      <c r="L28" s="200">
        <f t="shared" si="3"/>
        <v>808803.6400000006</v>
      </c>
      <c r="M28" s="200">
        <f t="shared" si="3"/>
        <v>808803.6400000006</v>
      </c>
      <c r="N28" s="200">
        <f t="shared" si="3"/>
        <v>808803.6400000006</v>
      </c>
      <c r="O28" s="200">
        <f t="shared" si="3"/>
        <v>808803.6400000006</v>
      </c>
      <c r="P28" s="200">
        <f t="shared" si="3"/>
        <v>808803.6400000006</v>
      </c>
    </row>
    <row r="29" spans="1:16" ht="5.0999999999999996" customHeight="1" thickTop="1">
      <c r="D29" s="182"/>
      <c r="E29" s="182"/>
      <c r="F29" s="182"/>
      <c r="G29" s="182"/>
      <c r="H29" s="182"/>
      <c r="I29" s="182"/>
      <c r="J29" s="182"/>
      <c r="K29" s="182"/>
      <c r="L29" s="182"/>
      <c r="M29" s="182"/>
      <c r="N29" s="182"/>
      <c r="O29" s="182"/>
    </row>
    <row r="30" spans="1:16">
      <c r="D30" s="182"/>
      <c r="E30" s="182"/>
      <c r="F30" s="182"/>
      <c r="G30" s="182"/>
      <c r="H30" s="182"/>
      <c r="I30" s="182"/>
      <c r="J30" s="182"/>
      <c r="K30" s="182"/>
      <c r="L30" s="182"/>
      <c r="M30" s="182"/>
      <c r="N30" s="182"/>
      <c r="O30" s="182"/>
    </row>
    <row r="33" spans="2:2" ht="15">
      <c r="B33" s="257" t="s">
        <v>506</v>
      </c>
    </row>
    <row r="34" spans="2:2" ht="15">
      <c r="B34" s="257"/>
    </row>
    <row r="35" spans="2:2" ht="15">
      <c r="B35" s="257"/>
    </row>
    <row r="36" spans="2:2" ht="15">
      <c r="B36" s="258" t="s">
        <v>507</v>
      </c>
    </row>
    <row r="37" spans="2:2" ht="15">
      <c r="B37" s="257" t="s">
        <v>508</v>
      </c>
    </row>
  </sheetData>
  <mergeCells count="6">
    <mergeCell ref="A7:P7"/>
    <mergeCell ref="A1:P1"/>
    <mergeCell ref="A2:P2"/>
    <mergeCell ref="A3:P3"/>
    <mergeCell ref="A5:P5"/>
    <mergeCell ref="A6:P6"/>
  </mergeCells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1"/>
  <sheetViews>
    <sheetView workbookViewId="0">
      <selection activeCell="T26" sqref="T26"/>
    </sheetView>
  </sheetViews>
  <sheetFormatPr defaultRowHeight="12" outlineLevelCol="1"/>
  <cols>
    <col min="1" max="3" width="3.7109375" style="204" customWidth="1"/>
    <col min="4" max="4" width="60.7109375" style="204" customWidth="1"/>
    <col min="5" max="5" width="1.7109375" style="206" customWidth="1"/>
    <col min="6" max="17" width="15.7109375" style="204" hidden="1" customWidth="1" outlineLevel="1"/>
    <col min="18" max="18" width="15.7109375" style="204" customWidth="1" collapsed="1"/>
    <col min="19" max="19" width="12" style="204" bestFit="1" customWidth="1"/>
    <col min="20" max="16384" width="9.140625" style="204"/>
  </cols>
  <sheetData>
    <row r="1" spans="1:18">
      <c r="A1" s="320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321" t="s">
        <v>668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>
      <c r="A3" s="320" t="s">
        <v>669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5.0999999999999996" customHeight="1">
      <c r="A4" s="205"/>
      <c r="B4" s="205"/>
      <c r="C4" s="205"/>
      <c r="D4" s="205"/>
    </row>
    <row r="5" spans="1:18">
      <c r="A5" s="320" t="s">
        <v>727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5.0999999999999996" customHeight="1"/>
    <row r="8" spans="1:18">
      <c r="F8" s="207">
        <v>42400</v>
      </c>
      <c r="G8" s="207">
        <v>42429</v>
      </c>
      <c r="H8" s="207">
        <v>42460</v>
      </c>
      <c r="I8" s="207">
        <v>42490</v>
      </c>
      <c r="J8" s="207">
        <v>42521</v>
      </c>
      <c r="K8" s="207">
        <v>42551</v>
      </c>
      <c r="L8" s="207">
        <v>42582</v>
      </c>
      <c r="M8" s="207">
        <v>42613</v>
      </c>
      <c r="N8" s="207">
        <v>42643</v>
      </c>
      <c r="O8" s="207">
        <v>42674</v>
      </c>
      <c r="P8" s="207">
        <v>42704</v>
      </c>
      <c r="Q8" s="207">
        <v>42735</v>
      </c>
    </row>
    <row r="9" spans="1:18">
      <c r="A9" s="208" t="s">
        <v>704</v>
      </c>
    </row>
    <row r="10" spans="1:18">
      <c r="B10" s="208" t="s">
        <v>705</v>
      </c>
    </row>
    <row r="11" spans="1:18" ht="5.0999999999999996" customHeight="1">
      <c r="B11" s="2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>
      <c r="C12" s="208" t="s">
        <v>706</v>
      </c>
      <c r="F12" s="209">
        <f>+SUM(F13:F22)</f>
        <v>1331902.9900000002</v>
      </c>
      <c r="G12" s="209">
        <f>+SUM(G13:G22)</f>
        <v>1832825.7100000004</v>
      </c>
      <c r="H12" s="209">
        <f t="shared" ref="H12:Q12" si="0">+SUM(H13:H22)</f>
        <v>1974064.8700000006</v>
      </c>
      <c r="I12" s="209">
        <f t="shared" si="0"/>
        <v>1974064.8700000006</v>
      </c>
      <c r="J12" s="209">
        <f t="shared" si="0"/>
        <v>1974064.8700000006</v>
      </c>
      <c r="K12" s="209">
        <f t="shared" si="0"/>
        <v>1974064.8700000006</v>
      </c>
      <c r="L12" s="209">
        <f t="shared" si="0"/>
        <v>1974064.8700000006</v>
      </c>
      <c r="M12" s="209">
        <f t="shared" si="0"/>
        <v>1974064.8700000006</v>
      </c>
      <c r="N12" s="209">
        <f t="shared" si="0"/>
        <v>1974064.8700000006</v>
      </c>
      <c r="O12" s="209">
        <f t="shared" si="0"/>
        <v>1974064.8700000006</v>
      </c>
      <c r="P12" s="209">
        <f t="shared" si="0"/>
        <v>1974064.8700000006</v>
      </c>
      <c r="Q12" s="209">
        <f t="shared" si="0"/>
        <v>1974064.8700000006</v>
      </c>
      <c r="R12" s="209">
        <f>SUM(R13:R21)</f>
        <v>702563.87000000046</v>
      </c>
    </row>
    <row r="13" spans="1:18">
      <c r="D13" s="204" t="s">
        <v>232</v>
      </c>
      <c r="E13" s="206" t="s">
        <v>10</v>
      </c>
      <c r="F13" s="186">
        <f>+VLOOKUP($E13,[1]tb!$B$12:$AC$193,4,0)</f>
        <v>150</v>
      </c>
      <c r="G13" s="186">
        <f>+VLOOKUP($E13,[1]tb!$B$12:$AC$193,6,0)</f>
        <v>105</v>
      </c>
      <c r="H13" s="186">
        <f>+VLOOKUP($E13,[1]tb!$B$12:$AC$193,8,0)</f>
        <v>105</v>
      </c>
      <c r="I13" s="186">
        <f>+VLOOKUP($E13,[1]tb!$B$12:$AC$193,10,0)</f>
        <v>105</v>
      </c>
      <c r="J13" s="186">
        <f>+VLOOKUP($E13,[1]tb!$B$12:$AC$193,12,0)</f>
        <v>105</v>
      </c>
      <c r="K13" s="186">
        <f>+VLOOKUP($E13,[1]tb!$B$12:$AC$193,14,0)</f>
        <v>105</v>
      </c>
      <c r="L13" s="186">
        <f>+VLOOKUP($E13,[1]tb!$B$12:$AC$193,16,0)</f>
        <v>105</v>
      </c>
      <c r="M13" s="186">
        <f>+VLOOKUP($E13,[1]tb!$B$12:$AC$193,18,0)</f>
        <v>105</v>
      </c>
      <c r="N13" s="186">
        <f>+VLOOKUP($E13,[1]tb!$B$12:$AC$193,20,0)</f>
        <v>105</v>
      </c>
      <c r="O13" s="186">
        <f>+VLOOKUP($E13,[1]tb!$B$12:$AC$193,22,0)</f>
        <v>105</v>
      </c>
      <c r="P13" s="186">
        <f>+VLOOKUP($E13,[1]tb!$B$12:$AC$193,24,0)</f>
        <v>105</v>
      </c>
      <c r="Q13" s="186">
        <f>+VLOOKUP($E13,[1]tb!$B$12:$AC$193,26,0)</f>
        <v>105</v>
      </c>
      <c r="R13" s="186">
        <f t="shared" ref="R13:R21" si="1">+Q13</f>
        <v>105</v>
      </c>
    </row>
    <row r="14" spans="1:18">
      <c r="D14" s="204" t="s">
        <v>233</v>
      </c>
      <c r="E14" s="206" t="s">
        <v>11</v>
      </c>
      <c r="F14" s="186">
        <f>+VLOOKUP($E14,[1]tb!$B$12:$AC$193,4,0)</f>
        <v>0</v>
      </c>
      <c r="G14" s="186">
        <f>+VLOOKUP($E14,[1]tb!$B$12:$AC$193,6,0)</f>
        <v>0</v>
      </c>
      <c r="H14" s="186">
        <f>+VLOOKUP($E14,[1]tb!$B$12:$AC$193,8,0)</f>
        <v>40000</v>
      </c>
      <c r="I14" s="186">
        <f>+VLOOKUP($E14,[1]tb!$B$12:$AC$193,10,0)</f>
        <v>40000</v>
      </c>
      <c r="J14" s="186">
        <f>+VLOOKUP($E14,[1]tb!$B$12:$AC$193,12,0)</f>
        <v>40000</v>
      </c>
      <c r="K14" s="186">
        <f>+VLOOKUP($E14,[1]tb!$B$12:$AC$193,14,0)</f>
        <v>40000</v>
      </c>
      <c r="L14" s="186">
        <f>+VLOOKUP($E14,[1]tb!$B$12:$AC$193,16,0)</f>
        <v>40000</v>
      </c>
      <c r="M14" s="186">
        <f>+VLOOKUP($E14,[1]tb!$B$12:$AC$193,18,0)</f>
        <v>40000</v>
      </c>
      <c r="N14" s="186">
        <f>+VLOOKUP($E14,[1]tb!$B$12:$AC$193,20,0)</f>
        <v>40000</v>
      </c>
      <c r="O14" s="186">
        <f>+VLOOKUP($E14,[1]tb!$B$12:$AC$193,22,0)</f>
        <v>40000</v>
      </c>
      <c r="P14" s="186">
        <f>+VLOOKUP($E14,[1]tb!$B$12:$AC$193,24,0)</f>
        <v>40000</v>
      </c>
      <c r="Q14" s="186">
        <f>+VLOOKUP($E14,[1]tb!$B$12:$AC$193,26,0)</f>
        <v>40000</v>
      </c>
      <c r="R14" s="186">
        <f t="shared" si="1"/>
        <v>40000</v>
      </c>
    </row>
    <row r="15" spans="1:18">
      <c r="D15" s="204" t="s">
        <v>234</v>
      </c>
      <c r="E15" s="206" t="s">
        <v>12</v>
      </c>
      <c r="F15" s="186">
        <f>+VLOOKUP($E15,[1]tb!$B$12:$AC$193,4,0)</f>
        <v>662458.87</v>
      </c>
      <c r="G15" s="186">
        <f>+VLOOKUP($E15,[1]tb!$B$12:$AC$193,6,0)</f>
        <v>662458.87</v>
      </c>
      <c r="H15" s="186">
        <f>+VLOOKUP($E15,[1]tb!$B$12:$AC$193,8,0)</f>
        <v>662458.87</v>
      </c>
      <c r="I15" s="186">
        <f>+VLOOKUP($E15,[1]tb!$B$12:$AC$193,10,0)</f>
        <v>662458.87</v>
      </c>
      <c r="J15" s="186">
        <f>+VLOOKUP($E15,[1]tb!$B$12:$AC$193,12,0)</f>
        <v>662458.87</v>
      </c>
      <c r="K15" s="186">
        <f>+VLOOKUP($E15,[1]tb!$B$12:$AC$193,14,0)</f>
        <v>662458.87</v>
      </c>
      <c r="L15" s="186">
        <f>+VLOOKUP($E15,[1]tb!$B$12:$AC$193,16,0)</f>
        <v>662458.87</v>
      </c>
      <c r="M15" s="186">
        <f>+VLOOKUP($E15,[1]tb!$B$12:$AC$193,18,0)</f>
        <v>662458.87</v>
      </c>
      <c r="N15" s="186">
        <f>+VLOOKUP($E15,[1]tb!$B$12:$AC$193,20,0)</f>
        <v>662458.87</v>
      </c>
      <c r="O15" s="186">
        <f>+VLOOKUP($E15,[1]tb!$B$12:$AC$193,22,0)</f>
        <v>662458.87</v>
      </c>
      <c r="P15" s="186">
        <f>+VLOOKUP($E15,[1]tb!$B$12:$AC$193,24,0)</f>
        <v>662458.87</v>
      </c>
      <c r="Q15" s="186">
        <f>+VLOOKUP($E15,[1]tb!$B$12:$AC$193,26,0)</f>
        <v>662458.87</v>
      </c>
      <c r="R15" s="186">
        <f t="shared" si="1"/>
        <v>662458.87</v>
      </c>
    </row>
    <row r="16" spans="1:18" hidden="1">
      <c r="D16" s="204" t="s">
        <v>235</v>
      </c>
      <c r="E16" s="206" t="s">
        <v>13</v>
      </c>
      <c r="F16" s="186">
        <f>+VLOOKUP($E16,[1]tb!$B$12:$AC$193,4,0)</f>
        <v>403315</v>
      </c>
      <c r="G16" s="186">
        <f>+VLOOKUP($E16,[1]tb!$B$12:$AC$193,6,0)</f>
        <v>832741</v>
      </c>
      <c r="H16" s="186">
        <f>+VLOOKUP($E16,[1]tb!$B$12:$AC$193,8,0)</f>
        <v>1271501</v>
      </c>
      <c r="I16" s="186">
        <f>+VLOOKUP($E16,[1]tb!$B$12:$AC$193,10,0)</f>
        <v>1271501</v>
      </c>
      <c r="J16" s="186">
        <f>+VLOOKUP($E16,[1]tb!$B$12:$AC$193,12,0)</f>
        <v>1271501</v>
      </c>
      <c r="K16" s="186">
        <f>+VLOOKUP($E16,[1]tb!$B$12:$AC$193,14,0)</f>
        <v>1271501</v>
      </c>
      <c r="L16" s="186">
        <f>+VLOOKUP($E16,[1]tb!$B$12:$AC$193,16,0)</f>
        <v>1271501</v>
      </c>
      <c r="M16" s="186">
        <f>+VLOOKUP($E16,[1]tb!$B$12:$AC$193,18,0)</f>
        <v>1271501</v>
      </c>
      <c r="N16" s="186">
        <f>+VLOOKUP($E16,[1]tb!$B$12:$AC$193,20,0)</f>
        <v>1271501</v>
      </c>
      <c r="O16" s="186">
        <f>+VLOOKUP($E16,[1]tb!$B$12:$AC$193,22,0)</f>
        <v>1271501</v>
      </c>
      <c r="P16" s="186">
        <f>+VLOOKUP($E16,[1]tb!$B$12:$AC$193,24,0)</f>
        <v>1271501</v>
      </c>
      <c r="Q16" s="186">
        <f>+VLOOKUP($E16,[1]tb!$B$12:$AC$193,26,0)</f>
        <v>1271501</v>
      </c>
      <c r="R16" s="186"/>
    </row>
    <row r="17" spans="3:18" hidden="1">
      <c r="D17" s="204" t="s">
        <v>236</v>
      </c>
      <c r="E17" s="206" t="s">
        <v>14</v>
      </c>
      <c r="F17" s="186">
        <f>+VLOOKUP($E17,[1]tb!$B$12:$AC$193,4,0)</f>
        <v>0</v>
      </c>
      <c r="G17" s="186">
        <f>+VLOOKUP($E17,[1]tb!$B$12:$AC$193,6,0)</f>
        <v>0</v>
      </c>
      <c r="H17" s="186">
        <f>+VLOOKUP($E17,[1]tb!$B$12:$AC$193,8,0)</f>
        <v>0</v>
      </c>
      <c r="I17" s="186">
        <f>+VLOOKUP($E17,[1]tb!$B$12:$AC$193,10,0)</f>
        <v>0</v>
      </c>
      <c r="J17" s="186">
        <f>+VLOOKUP($E17,[1]tb!$B$12:$AC$193,12,0)</f>
        <v>0</v>
      </c>
      <c r="K17" s="186">
        <f>+VLOOKUP($E17,[1]tb!$B$12:$AC$193,14,0)</f>
        <v>0</v>
      </c>
      <c r="L17" s="186">
        <f>+VLOOKUP($E17,[1]tb!$B$12:$AC$193,16,0)</f>
        <v>0</v>
      </c>
      <c r="M17" s="186">
        <f>+VLOOKUP($E17,[1]tb!$B$12:$AC$193,18,0)</f>
        <v>0</v>
      </c>
      <c r="N17" s="186">
        <f>+VLOOKUP($E17,[1]tb!$B$12:$AC$193,20,0)</f>
        <v>0</v>
      </c>
      <c r="O17" s="186">
        <f>+VLOOKUP($E17,[1]tb!$B$12:$AC$193,22,0)</f>
        <v>0</v>
      </c>
      <c r="P17" s="186">
        <f>+VLOOKUP($E17,[1]tb!$B$12:$AC$193,24,0)</f>
        <v>0</v>
      </c>
      <c r="Q17" s="186">
        <f>+VLOOKUP($E17,[1]tb!$B$12:$AC$193,26,0)</f>
        <v>0</v>
      </c>
      <c r="R17" s="186">
        <f t="shared" si="1"/>
        <v>0</v>
      </c>
    </row>
    <row r="18" spans="3:18" hidden="1">
      <c r="D18" s="204" t="s">
        <v>237</v>
      </c>
      <c r="E18" s="206" t="s">
        <v>15</v>
      </c>
      <c r="F18" s="186">
        <f>+VLOOKUP($E18,[1]tb!$B$12:$AC$193,4,0)</f>
        <v>0</v>
      </c>
      <c r="G18" s="186">
        <f>+VLOOKUP($E18,[1]tb!$B$12:$AC$193,6,0)</f>
        <v>0</v>
      </c>
      <c r="H18" s="186">
        <f>+VLOOKUP($E18,[1]tb!$B$12:$AC$193,8,0)</f>
        <v>0</v>
      </c>
      <c r="I18" s="186">
        <f>+VLOOKUP($E18,[1]tb!$B$12:$AC$193,10,0)</f>
        <v>0</v>
      </c>
      <c r="J18" s="186">
        <f>+VLOOKUP($E18,[1]tb!$B$12:$AC$193,12,0)</f>
        <v>0</v>
      </c>
      <c r="K18" s="186">
        <f>+VLOOKUP($E18,[1]tb!$B$12:$AC$193,14,0)</f>
        <v>0</v>
      </c>
      <c r="L18" s="186">
        <f>+VLOOKUP($E18,[1]tb!$B$12:$AC$193,16,0)</f>
        <v>0</v>
      </c>
      <c r="M18" s="186">
        <f>+VLOOKUP($E18,[1]tb!$B$12:$AC$193,18,0)</f>
        <v>0</v>
      </c>
      <c r="N18" s="186">
        <f>+VLOOKUP($E18,[1]tb!$B$12:$AC$193,20,0)</f>
        <v>0</v>
      </c>
      <c r="O18" s="186">
        <f>+VLOOKUP($E18,[1]tb!$B$12:$AC$193,22,0)</f>
        <v>0</v>
      </c>
      <c r="P18" s="186">
        <f>+VLOOKUP($E18,[1]tb!$B$12:$AC$193,24,0)</f>
        <v>0</v>
      </c>
      <c r="Q18" s="186">
        <f>+VLOOKUP($E18,[1]tb!$B$12:$AC$193,26,0)</f>
        <v>0</v>
      </c>
      <c r="R18" s="186">
        <f t="shared" si="1"/>
        <v>0</v>
      </c>
    </row>
    <row r="19" spans="3:18" hidden="1">
      <c r="D19" s="204" t="s">
        <v>238</v>
      </c>
      <c r="E19" s="206" t="s">
        <v>16</v>
      </c>
      <c r="F19" s="186">
        <f>+VLOOKUP($E19,[1]tb!$B$12:$AC$193,4,0)</f>
        <v>265979.12000000011</v>
      </c>
      <c r="G19" s="186">
        <f>+VLOOKUP($E19,[1]tb!$B$12:$AC$193,6,0)</f>
        <v>337520.84000000032</v>
      </c>
      <c r="H19" s="186">
        <f>+VLOOKUP($E19,[1]tb!$B$12:$AC$193,8,0)</f>
        <v>4.6566128730773926E-10</v>
      </c>
      <c r="I19" s="186">
        <f>+VLOOKUP($E19,[1]tb!$B$12:$AC$193,10,0)</f>
        <v>4.6566128730773926E-10</v>
      </c>
      <c r="J19" s="186">
        <f>+VLOOKUP($E19,[1]tb!$B$12:$AC$193,12,0)</f>
        <v>4.6566128730773926E-10</v>
      </c>
      <c r="K19" s="186">
        <f>+VLOOKUP($E19,[1]tb!$B$12:$AC$193,14,0)</f>
        <v>4.6566128730773926E-10</v>
      </c>
      <c r="L19" s="186">
        <f>+VLOOKUP($E19,[1]tb!$B$12:$AC$193,16,0)</f>
        <v>4.6566128730773926E-10</v>
      </c>
      <c r="M19" s="186">
        <f>+VLOOKUP($E19,[1]tb!$B$12:$AC$193,18,0)</f>
        <v>4.6566128730773926E-10</v>
      </c>
      <c r="N19" s="186">
        <f>+VLOOKUP($E19,[1]tb!$B$12:$AC$193,20,0)</f>
        <v>4.6566128730773926E-10</v>
      </c>
      <c r="O19" s="186">
        <f>+VLOOKUP($E19,[1]tb!$B$12:$AC$193,22,0)</f>
        <v>4.6566128730773926E-10</v>
      </c>
      <c r="P19" s="186">
        <f>+VLOOKUP($E19,[1]tb!$B$12:$AC$193,24,0)</f>
        <v>4.6566128730773926E-10</v>
      </c>
      <c r="Q19" s="186">
        <f>+VLOOKUP($E19,[1]tb!$B$12:$AC$193,26,0)</f>
        <v>4.6566128730773926E-10</v>
      </c>
      <c r="R19" s="186">
        <f t="shared" si="1"/>
        <v>4.6566128730773926E-10</v>
      </c>
    </row>
    <row r="20" spans="3:18" hidden="1">
      <c r="D20" s="204" t="s">
        <v>239</v>
      </c>
      <c r="E20" s="206" t="s">
        <v>17</v>
      </c>
      <c r="F20" s="186">
        <f>+VLOOKUP($E20,[1]tb!$B$12:$AC$193,4,0)</f>
        <v>0</v>
      </c>
      <c r="G20" s="186">
        <f>+VLOOKUP($E20,[1]tb!$B$12:$AC$193,6,0)</f>
        <v>0</v>
      </c>
      <c r="H20" s="186">
        <f>+VLOOKUP($E20,[1]tb!$B$12:$AC$193,8,0)</f>
        <v>0</v>
      </c>
      <c r="I20" s="186">
        <f>+VLOOKUP($E20,[1]tb!$B$12:$AC$193,10,0)</f>
        <v>0</v>
      </c>
      <c r="J20" s="186">
        <f>+VLOOKUP($E20,[1]tb!$B$12:$AC$193,12,0)</f>
        <v>0</v>
      </c>
      <c r="K20" s="186">
        <f>+VLOOKUP($E20,[1]tb!$B$12:$AC$193,14,0)</f>
        <v>0</v>
      </c>
      <c r="L20" s="186">
        <f>+VLOOKUP($E20,[1]tb!$B$12:$AC$193,16,0)</f>
        <v>0</v>
      </c>
      <c r="M20" s="186">
        <f>+VLOOKUP($E20,[1]tb!$B$12:$AC$193,18,0)</f>
        <v>0</v>
      </c>
      <c r="N20" s="186">
        <f>+VLOOKUP($E20,[1]tb!$B$12:$AC$193,20,0)</f>
        <v>0</v>
      </c>
      <c r="O20" s="186">
        <f>+VLOOKUP($E20,[1]tb!$B$12:$AC$193,22,0)</f>
        <v>0</v>
      </c>
      <c r="P20" s="186">
        <f>+VLOOKUP($E20,[1]tb!$B$12:$AC$193,24,0)</f>
        <v>0</v>
      </c>
      <c r="Q20" s="186">
        <f>+VLOOKUP($E20,[1]tb!$B$12:$AC$193,26,0)</f>
        <v>0</v>
      </c>
      <c r="R20" s="186">
        <f t="shared" si="1"/>
        <v>0</v>
      </c>
    </row>
    <row r="21" spans="3:18" hidden="1">
      <c r="D21" s="204" t="s">
        <v>707</v>
      </c>
      <c r="E21" s="206" t="s">
        <v>675</v>
      </c>
      <c r="F21" s="186">
        <f>+VLOOKUP($E21,[1]tb!$B$12:$AC$193,4,0)</f>
        <v>0</v>
      </c>
      <c r="G21" s="186">
        <f>+VLOOKUP($E21,[1]tb!$B$12:$AC$193,6,0)</f>
        <v>0</v>
      </c>
      <c r="H21" s="186">
        <f>+VLOOKUP($E21,[1]tb!$B$12:$AC$193,8,0)</f>
        <v>0</v>
      </c>
      <c r="I21" s="186">
        <f>+VLOOKUP($E21,[1]tb!$B$12:$AC$193,10,0)</f>
        <v>0</v>
      </c>
      <c r="J21" s="186">
        <f>+VLOOKUP($E21,[1]tb!$B$12:$AC$193,12,0)</f>
        <v>0</v>
      </c>
      <c r="K21" s="186">
        <f>+VLOOKUP($E21,[1]tb!$B$12:$AC$193,14,0)</f>
        <v>0</v>
      </c>
      <c r="L21" s="186">
        <f>+VLOOKUP($E21,[1]tb!$B$12:$AC$193,16,0)</f>
        <v>0</v>
      </c>
      <c r="M21" s="186">
        <f>+VLOOKUP($E21,[1]tb!$B$12:$AC$193,18,0)</f>
        <v>0</v>
      </c>
      <c r="N21" s="186">
        <f>+VLOOKUP($E21,[1]tb!$B$12:$AC$193,20,0)</f>
        <v>0</v>
      </c>
      <c r="O21" s="186">
        <f>+VLOOKUP($E21,[1]tb!$B$12:$AC$193,22,0)</f>
        <v>0</v>
      </c>
      <c r="P21" s="186">
        <f>+VLOOKUP($E21,[1]tb!$B$12:$AC$193,24,0)</f>
        <v>0</v>
      </c>
      <c r="Q21" s="186">
        <f>+VLOOKUP($E21,[1]tb!$B$12:$AC$193,26,0)</f>
        <v>0</v>
      </c>
      <c r="R21" s="186">
        <f t="shared" si="1"/>
        <v>0</v>
      </c>
    </row>
    <row r="22" spans="3:18" ht="5.0999999999999996" customHeight="1"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3:18">
      <c r="C23" s="208" t="s">
        <v>708</v>
      </c>
      <c r="F23" s="209">
        <f>+SUM(F24:F28)</f>
        <v>155908.79999999999</v>
      </c>
      <c r="G23" s="209">
        <f>+SUM(G24:G28)</f>
        <v>155908.79999999999</v>
      </c>
      <c r="H23" s="209">
        <f t="shared" ref="H23:Q23" si="2">+SUM(H24:H28)</f>
        <v>172858.80000000005</v>
      </c>
      <c r="I23" s="209">
        <f t="shared" si="2"/>
        <v>172858.80000000005</v>
      </c>
      <c r="J23" s="209">
        <f t="shared" si="2"/>
        <v>172858.80000000005</v>
      </c>
      <c r="K23" s="209">
        <f t="shared" si="2"/>
        <v>172858.80000000005</v>
      </c>
      <c r="L23" s="209">
        <f t="shared" si="2"/>
        <v>172858.80000000005</v>
      </c>
      <c r="M23" s="209">
        <f t="shared" si="2"/>
        <v>172858.80000000005</v>
      </c>
      <c r="N23" s="209">
        <f t="shared" si="2"/>
        <v>172858.80000000005</v>
      </c>
      <c r="O23" s="209">
        <f t="shared" si="2"/>
        <v>172858.80000000005</v>
      </c>
      <c r="P23" s="209">
        <f t="shared" si="2"/>
        <v>172858.80000000005</v>
      </c>
      <c r="Q23" s="209">
        <f t="shared" si="2"/>
        <v>172858.80000000005</v>
      </c>
      <c r="R23" s="209">
        <f>R25+R26+R27</f>
        <v>172858.80000000005</v>
      </c>
    </row>
    <row r="24" spans="3:18">
      <c r="D24" s="204" t="s">
        <v>240</v>
      </c>
      <c r="E24" s="206" t="s">
        <v>18</v>
      </c>
      <c r="F24" s="186">
        <f>+VLOOKUP($E24,[1]tb!$B$12:$AC$193,4,0)</f>
        <v>0</v>
      </c>
      <c r="G24" s="186">
        <f>+VLOOKUP($E24,[1]tb!$B$12:$AC$193,6,0)</f>
        <v>0</v>
      </c>
      <c r="H24" s="186">
        <f>+VLOOKUP($E24,[1]tb!$B$12:$AC$193,8,0)</f>
        <v>0</v>
      </c>
      <c r="I24" s="186">
        <f>+VLOOKUP($E24,[1]tb!$B$12:$AC$193,10,0)</f>
        <v>0</v>
      </c>
      <c r="J24" s="186">
        <f>+VLOOKUP($E24,[1]tb!$B$12:$AC$193,12,0)</f>
        <v>0</v>
      </c>
      <c r="K24" s="186">
        <f>+VLOOKUP($E24,[1]tb!$B$12:$AC$193,14,0)</f>
        <v>0</v>
      </c>
      <c r="L24" s="186">
        <f>+VLOOKUP($E24,[1]tb!$B$12:$AC$193,16,0)</f>
        <v>0</v>
      </c>
      <c r="M24" s="186">
        <f>+VLOOKUP($E24,[1]tb!$B$12:$AC$193,18,0)</f>
        <v>0</v>
      </c>
      <c r="N24" s="186">
        <f>+VLOOKUP($E24,[1]tb!$B$12:$AC$193,20,0)</f>
        <v>0</v>
      </c>
      <c r="O24" s="186">
        <f>+VLOOKUP($E24,[1]tb!$B$12:$AC$193,22,0)</f>
        <v>0</v>
      </c>
      <c r="P24" s="186">
        <f>+VLOOKUP($E24,[1]tb!$B$12:$AC$193,24,0)</f>
        <v>0</v>
      </c>
      <c r="Q24" s="186">
        <f>+VLOOKUP($E24,[1]tb!$B$12:$AC$193,26,0)</f>
        <v>0</v>
      </c>
      <c r="R24" s="186">
        <f t="shared" ref="R24:R48" si="3">+Q24</f>
        <v>0</v>
      </c>
    </row>
    <row r="25" spans="3:18">
      <c r="D25" s="204" t="s">
        <v>245</v>
      </c>
      <c r="E25" s="206" t="s">
        <v>23</v>
      </c>
      <c r="F25" s="186">
        <f>+VLOOKUP($E25,[1]tb!$B$12:$AC$193,4,0)</f>
        <v>150868.79999999999</v>
      </c>
      <c r="G25" s="186">
        <f>+VLOOKUP($E25,[1]tb!$B$12:$AC$193,6,0)</f>
        <v>150868.79999999999</v>
      </c>
      <c r="H25" s="186">
        <f>+VLOOKUP($E25,[1]tb!$B$12:$AC$193,8,0)</f>
        <v>150868.79999999999</v>
      </c>
      <c r="I25" s="186">
        <f>+VLOOKUP($E25,[1]tb!$B$12:$AC$193,10,0)</f>
        <v>150868.79999999999</v>
      </c>
      <c r="J25" s="186">
        <f>+VLOOKUP($E25,[1]tb!$B$12:$AC$193,12,0)</f>
        <v>150868.79999999999</v>
      </c>
      <c r="K25" s="186">
        <f>+VLOOKUP($E25,[1]tb!$B$12:$AC$193,14,0)</f>
        <v>150868.79999999999</v>
      </c>
      <c r="L25" s="186">
        <f>+VLOOKUP($E25,[1]tb!$B$12:$AC$193,16,0)</f>
        <v>150868.79999999999</v>
      </c>
      <c r="M25" s="186">
        <f>+VLOOKUP($E25,[1]tb!$B$12:$AC$193,18,0)</f>
        <v>150868.79999999999</v>
      </c>
      <c r="N25" s="186">
        <f>+VLOOKUP($E25,[1]tb!$B$12:$AC$193,20,0)</f>
        <v>150868.79999999999</v>
      </c>
      <c r="O25" s="186">
        <f>+VLOOKUP($E25,[1]tb!$B$12:$AC$193,22,0)</f>
        <v>150868.79999999999</v>
      </c>
      <c r="P25" s="186">
        <f>+VLOOKUP($E25,[1]tb!$B$12:$AC$193,24,0)</f>
        <v>150868.79999999999</v>
      </c>
      <c r="Q25" s="186">
        <f>+VLOOKUP($E25,[1]tb!$B$12:$AC$193,26,0)</f>
        <v>150868.79999999999</v>
      </c>
      <c r="R25" s="186">
        <f t="shared" si="3"/>
        <v>150868.79999999999</v>
      </c>
    </row>
    <row r="26" spans="3:18">
      <c r="D26" s="204" t="s">
        <v>246</v>
      </c>
      <c r="E26" s="206" t="s">
        <v>24</v>
      </c>
      <c r="F26" s="186">
        <f>+VLOOKUP($E26,[1]tb!$B$12:$AC$193,4,0)</f>
        <v>5040</v>
      </c>
      <c r="G26" s="186">
        <f>+VLOOKUP($E26,[1]tb!$B$12:$AC$193,6,0)</f>
        <v>5040</v>
      </c>
      <c r="H26" s="186">
        <f>+VLOOKUP($E26,[1]tb!$B$12:$AC$193,8,0)</f>
        <v>21059.000000000058</v>
      </c>
      <c r="I26" s="186">
        <f>+VLOOKUP($E26,[1]tb!$B$12:$AC$193,10,0)</f>
        <v>21059.000000000058</v>
      </c>
      <c r="J26" s="186">
        <f>+VLOOKUP($E26,[1]tb!$B$12:$AC$193,12,0)</f>
        <v>21059.000000000058</v>
      </c>
      <c r="K26" s="186">
        <f>+VLOOKUP($E26,[1]tb!$B$12:$AC$193,14,0)</f>
        <v>21059.000000000058</v>
      </c>
      <c r="L26" s="186">
        <f>+VLOOKUP($E26,[1]tb!$B$12:$AC$193,16,0)</f>
        <v>21059.000000000058</v>
      </c>
      <c r="M26" s="186">
        <f>+VLOOKUP($E26,[1]tb!$B$12:$AC$193,18,0)</f>
        <v>21059.000000000058</v>
      </c>
      <c r="N26" s="186">
        <f>+VLOOKUP($E26,[1]tb!$B$12:$AC$193,20,0)</f>
        <v>21059.000000000058</v>
      </c>
      <c r="O26" s="186">
        <f>+VLOOKUP($E26,[1]tb!$B$12:$AC$193,22,0)</f>
        <v>21059.000000000058</v>
      </c>
      <c r="P26" s="186">
        <f>+VLOOKUP($E26,[1]tb!$B$12:$AC$193,24,0)</f>
        <v>21059.000000000058</v>
      </c>
      <c r="Q26" s="186">
        <f>+VLOOKUP($E26,[1]tb!$B$12:$AC$193,26,0)</f>
        <v>21059.000000000058</v>
      </c>
      <c r="R26" s="186">
        <f t="shared" si="3"/>
        <v>21059.000000000058</v>
      </c>
    </row>
    <row r="27" spans="3:18">
      <c r="D27" s="204" t="s">
        <v>248</v>
      </c>
      <c r="E27" s="206" t="s">
        <v>26</v>
      </c>
      <c r="F27" s="186">
        <f>+VLOOKUP($E27,[1]tb!$B$12:$AC$193,4,0)</f>
        <v>0</v>
      </c>
      <c r="G27" s="186">
        <f>+VLOOKUP($E27,[1]tb!$B$12:$AC$193,6,0)</f>
        <v>0</v>
      </c>
      <c r="H27" s="186">
        <f>+VLOOKUP($E27,[1]tb!$B$12:$AC$193,8,0)</f>
        <v>931</v>
      </c>
      <c r="I27" s="186">
        <f>+VLOOKUP($E27,[1]tb!$B$12:$AC$193,10,0)</f>
        <v>931</v>
      </c>
      <c r="J27" s="186">
        <f>+VLOOKUP($E27,[1]tb!$B$12:$AC$193,12,0)</f>
        <v>931</v>
      </c>
      <c r="K27" s="186">
        <f>+VLOOKUP($E27,[1]tb!$B$12:$AC$193,14,0)</f>
        <v>931</v>
      </c>
      <c r="L27" s="186">
        <f>+VLOOKUP($E27,[1]tb!$B$12:$AC$193,16,0)</f>
        <v>931</v>
      </c>
      <c r="M27" s="186">
        <f>+VLOOKUP($E27,[1]tb!$B$12:$AC$193,18,0)</f>
        <v>931</v>
      </c>
      <c r="N27" s="186">
        <f>+VLOOKUP($E27,[1]tb!$B$12:$AC$193,20,0)</f>
        <v>931</v>
      </c>
      <c r="O27" s="186">
        <f>+VLOOKUP($E27,[1]tb!$B$12:$AC$193,22,0)</f>
        <v>931</v>
      </c>
      <c r="P27" s="186">
        <f>+VLOOKUP($E27,[1]tb!$B$12:$AC$193,24,0)</f>
        <v>931</v>
      </c>
      <c r="Q27" s="186">
        <f>+VLOOKUP($E27,[1]tb!$B$12:$AC$193,26,0)</f>
        <v>931</v>
      </c>
      <c r="R27" s="186">
        <f t="shared" si="3"/>
        <v>931</v>
      </c>
    </row>
    <row r="28" spans="3:18" ht="5.0999999999999996" customHeight="1"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3:18">
      <c r="C29" s="208" t="s">
        <v>709</v>
      </c>
      <c r="F29" s="209">
        <f>+SUM(F30:F34)</f>
        <v>1194194.52</v>
      </c>
      <c r="G29" s="209">
        <f>+SUM(G30:G34)</f>
        <v>1152548.51</v>
      </c>
      <c r="H29" s="209">
        <f t="shared" ref="H29:Q29" si="4">+SUM(H30:H34)</f>
        <v>1170832.3699999999</v>
      </c>
      <c r="I29" s="209">
        <f t="shared" si="4"/>
        <v>1170832.3699999999</v>
      </c>
      <c r="J29" s="209">
        <f t="shared" si="4"/>
        <v>1170832.3699999999</v>
      </c>
      <c r="K29" s="209">
        <f t="shared" si="4"/>
        <v>1170832.3699999999</v>
      </c>
      <c r="L29" s="209">
        <f t="shared" si="4"/>
        <v>1170832.3699999999</v>
      </c>
      <c r="M29" s="209">
        <f t="shared" si="4"/>
        <v>1170832.3699999999</v>
      </c>
      <c r="N29" s="209">
        <f t="shared" si="4"/>
        <v>1170832.3699999999</v>
      </c>
      <c r="O29" s="209">
        <f t="shared" si="4"/>
        <v>1170832.3699999999</v>
      </c>
      <c r="P29" s="209">
        <f t="shared" si="4"/>
        <v>1170832.3699999999</v>
      </c>
      <c r="Q29" s="209">
        <f t="shared" si="4"/>
        <v>1170832.3699999999</v>
      </c>
      <c r="R29" s="209">
        <f t="shared" si="3"/>
        <v>1170832.3699999999</v>
      </c>
    </row>
    <row r="30" spans="3:18">
      <c r="D30" s="204" t="s">
        <v>249</v>
      </c>
      <c r="E30" s="206" t="s">
        <v>27</v>
      </c>
      <c r="F30" s="186">
        <f>+VLOOKUP($E30,[1]tb!$B$12:$AC$193,4,0)</f>
        <v>730509.17999999993</v>
      </c>
      <c r="G30" s="186">
        <f>+VLOOKUP($E30,[1]tb!$B$12:$AC$193,6,0)</f>
        <v>705879.16999999993</v>
      </c>
      <c r="H30" s="186">
        <f>+VLOOKUP($E30,[1]tb!$B$12:$AC$193,8,0)</f>
        <v>734427.77999999991</v>
      </c>
      <c r="I30" s="186">
        <f>+VLOOKUP($E30,[1]tb!$B$12:$AC$193,10,0)</f>
        <v>734427.77999999991</v>
      </c>
      <c r="J30" s="186">
        <f>+VLOOKUP($E30,[1]tb!$B$12:$AC$193,12,0)</f>
        <v>734427.77999999991</v>
      </c>
      <c r="K30" s="186">
        <f>+VLOOKUP($E30,[1]tb!$B$12:$AC$193,14,0)</f>
        <v>734427.77999999991</v>
      </c>
      <c r="L30" s="186">
        <f>+VLOOKUP($E30,[1]tb!$B$12:$AC$193,16,0)</f>
        <v>734427.77999999991</v>
      </c>
      <c r="M30" s="186">
        <f>+VLOOKUP($E30,[1]tb!$B$12:$AC$193,18,0)</f>
        <v>734427.77999999991</v>
      </c>
      <c r="N30" s="186">
        <f>+VLOOKUP($E30,[1]tb!$B$12:$AC$193,20,0)</f>
        <v>734427.77999999991</v>
      </c>
      <c r="O30" s="186">
        <f>+VLOOKUP($E30,[1]tb!$B$12:$AC$193,22,0)</f>
        <v>734427.77999999991</v>
      </c>
      <c r="P30" s="186">
        <f>+VLOOKUP($E30,[1]tb!$B$12:$AC$193,24,0)</f>
        <v>734427.77999999991</v>
      </c>
      <c r="Q30" s="186">
        <f>+VLOOKUP($E30,[1]tb!$B$12:$AC$193,26,0)</f>
        <v>734427.77999999991</v>
      </c>
      <c r="R30" s="186">
        <f t="shared" si="3"/>
        <v>734427.77999999991</v>
      </c>
    </row>
    <row r="31" spans="3:18">
      <c r="D31" s="204" t="s">
        <v>250</v>
      </c>
      <c r="E31" s="206" t="s">
        <v>28</v>
      </c>
      <c r="F31" s="186">
        <f>+VLOOKUP($E31,[1]tb!$B$12:$AC$193,4,0)</f>
        <v>185942</v>
      </c>
      <c r="G31" s="186">
        <f>+VLOOKUP($E31,[1]tb!$B$12:$AC$193,6,0)</f>
        <v>170364</v>
      </c>
      <c r="H31" s="186">
        <f>+VLOOKUP($E31,[1]tb!$B$12:$AC$193,8,0)</f>
        <v>154098</v>
      </c>
      <c r="I31" s="186">
        <f>+VLOOKUP($E31,[1]tb!$B$12:$AC$193,10,0)</f>
        <v>154098</v>
      </c>
      <c r="J31" s="186">
        <f>+VLOOKUP($E31,[1]tb!$B$12:$AC$193,12,0)</f>
        <v>154098</v>
      </c>
      <c r="K31" s="186">
        <f>+VLOOKUP($E31,[1]tb!$B$12:$AC$193,14,0)</f>
        <v>154098</v>
      </c>
      <c r="L31" s="186">
        <f>+VLOOKUP($E31,[1]tb!$B$12:$AC$193,16,0)</f>
        <v>154098</v>
      </c>
      <c r="M31" s="186">
        <f>+VLOOKUP($E31,[1]tb!$B$12:$AC$193,18,0)</f>
        <v>154098</v>
      </c>
      <c r="N31" s="186">
        <f>+VLOOKUP($E31,[1]tb!$B$12:$AC$193,20,0)</f>
        <v>154098</v>
      </c>
      <c r="O31" s="186">
        <f>+VLOOKUP($E31,[1]tb!$B$12:$AC$193,22,0)</f>
        <v>154098</v>
      </c>
      <c r="P31" s="186">
        <f>+VLOOKUP($E31,[1]tb!$B$12:$AC$193,24,0)</f>
        <v>154098</v>
      </c>
      <c r="Q31" s="186">
        <f>+VLOOKUP($E31,[1]tb!$B$12:$AC$193,26,0)</f>
        <v>154098</v>
      </c>
      <c r="R31" s="186">
        <f t="shared" si="3"/>
        <v>154098</v>
      </c>
    </row>
    <row r="32" spans="3:18">
      <c r="D32" s="204" t="s">
        <v>251</v>
      </c>
      <c r="E32" s="206" t="s">
        <v>29</v>
      </c>
      <c r="F32" s="186">
        <f>+VLOOKUP($E32,[1]tb!$B$12:$AC$193,4,0)</f>
        <v>53600</v>
      </c>
      <c r="G32" s="186">
        <f>+VLOOKUP($E32,[1]tb!$B$12:$AC$193,6,0)</f>
        <v>53600</v>
      </c>
      <c r="H32" s="186">
        <f>+VLOOKUP($E32,[1]tb!$B$12:$AC$193,8,0)</f>
        <v>60500</v>
      </c>
      <c r="I32" s="186">
        <f>+VLOOKUP($E32,[1]tb!$B$12:$AC$193,10,0)</f>
        <v>60500</v>
      </c>
      <c r="J32" s="186">
        <f>+VLOOKUP($E32,[1]tb!$B$12:$AC$193,12,0)</f>
        <v>60500</v>
      </c>
      <c r="K32" s="186">
        <f>+VLOOKUP($E32,[1]tb!$B$12:$AC$193,14,0)</f>
        <v>60500</v>
      </c>
      <c r="L32" s="186">
        <f>+VLOOKUP($E32,[1]tb!$B$12:$AC$193,16,0)</f>
        <v>60500</v>
      </c>
      <c r="M32" s="186">
        <f>+VLOOKUP($E32,[1]tb!$B$12:$AC$193,18,0)</f>
        <v>60500</v>
      </c>
      <c r="N32" s="186">
        <f>+VLOOKUP($E32,[1]tb!$B$12:$AC$193,20,0)</f>
        <v>60500</v>
      </c>
      <c r="O32" s="186">
        <f>+VLOOKUP($E32,[1]tb!$B$12:$AC$193,22,0)</f>
        <v>60500</v>
      </c>
      <c r="P32" s="186">
        <f>+VLOOKUP($E32,[1]tb!$B$12:$AC$193,24,0)</f>
        <v>60500</v>
      </c>
      <c r="Q32" s="186">
        <f>+VLOOKUP($E32,[1]tb!$B$12:$AC$193,26,0)</f>
        <v>60500</v>
      </c>
      <c r="R32" s="186">
        <f t="shared" si="3"/>
        <v>60500</v>
      </c>
    </row>
    <row r="33" spans="3:18">
      <c r="D33" s="204" t="s">
        <v>253</v>
      </c>
      <c r="E33" s="206" t="s">
        <v>31</v>
      </c>
      <c r="F33" s="186">
        <f>+VLOOKUP($E33,[1]tb!$B$12:$AC$193,4,0)</f>
        <v>224143.34000000003</v>
      </c>
      <c r="G33" s="186">
        <f>+VLOOKUP($E33,[1]tb!$B$12:$AC$193,6,0)</f>
        <v>222705.34000000003</v>
      </c>
      <c r="H33" s="186">
        <f>+VLOOKUP($E33,[1]tb!$B$12:$AC$193,8,0)</f>
        <v>221806.59000000003</v>
      </c>
      <c r="I33" s="186">
        <f>+VLOOKUP($E33,[1]tb!$B$12:$AC$193,10,0)</f>
        <v>221806.59000000003</v>
      </c>
      <c r="J33" s="186">
        <f>+VLOOKUP($E33,[1]tb!$B$12:$AC$193,12,0)</f>
        <v>221806.59000000003</v>
      </c>
      <c r="K33" s="186">
        <f>+VLOOKUP($E33,[1]tb!$B$12:$AC$193,14,0)</f>
        <v>221806.59000000003</v>
      </c>
      <c r="L33" s="186">
        <f>+VLOOKUP($E33,[1]tb!$B$12:$AC$193,16,0)</f>
        <v>221806.59000000003</v>
      </c>
      <c r="M33" s="186">
        <f>+VLOOKUP($E33,[1]tb!$B$12:$AC$193,18,0)</f>
        <v>221806.59000000003</v>
      </c>
      <c r="N33" s="186">
        <f>+VLOOKUP($E33,[1]tb!$B$12:$AC$193,20,0)</f>
        <v>221806.59000000003</v>
      </c>
      <c r="O33" s="186">
        <f>+VLOOKUP($E33,[1]tb!$B$12:$AC$193,22,0)</f>
        <v>221806.59000000003</v>
      </c>
      <c r="P33" s="186">
        <f>+VLOOKUP($E33,[1]tb!$B$12:$AC$193,24,0)</f>
        <v>221806.59000000003</v>
      </c>
      <c r="Q33" s="186">
        <f>+VLOOKUP($E33,[1]tb!$B$12:$AC$193,26,0)</f>
        <v>221806.59000000003</v>
      </c>
      <c r="R33" s="186">
        <f t="shared" si="3"/>
        <v>221806.59000000003</v>
      </c>
    </row>
    <row r="34" spans="3:18" ht="5.0999999999999996" customHeight="1"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3:18">
      <c r="C35" s="208" t="s">
        <v>710</v>
      </c>
      <c r="F35" s="209">
        <f>+SUM(F36:F47)</f>
        <v>181583.57</v>
      </c>
      <c r="G35" s="209">
        <f>+SUM(G36:G47)</f>
        <v>230853.88</v>
      </c>
      <c r="H35" s="209">
        <f t="shared" ref="H35:Q35" si="5">+SUM(H36:H47)</f>
        <v>437207.32</v>
      </c>
      <c r="I35" s="209">
        <f t="shared" si="5"/>
        <v>437207.32</v>
      </c>
      <c r="J35" s="209">
        <f t="shared" si="5"/>
        <v>437207.32</v>
      </c>
      <c r="K35" s="209">
        <f t="shared" si="5"/>
        <v>437207.32</v>
      </c>
      <c r="L35" s="209">
        <f t="shared" si="5"/>
        <v>437207.32</v>
      </c>
      <c r="M35" s="209">
        <f t="shared" si="5"/>
        <v>437207.32</v>
      </c>
      <c r="N35" s="209">
        <f t="shared" si="5"/>
        <v>437207.32</v>
      </c>
      <c r="O35" s="209">
        <f t="shared" si="5"/>
        <v>437207.32</v>
      </c>
      <c r="P35" s="209">
        <f t="shared" si="5"/>
        <v>437207.32</v>
      </c>
      <c r="Q35" s="209">
        <f t="shared" si="5"/>
        <v>437207.32</v>
      </c>
      <c r="R35" s="209">
        <f t="shared" si="3"/>
        <v>437207.32</v>
      </c>
    </row>
    <row r="36" spans="3:18" hidden="1">
      <c r="D36" s="204" t="s">
        <v>298</v>
      </c>
      <c r="E36" s="206" t="s">
        <v>76</v>
      </c>
      <c r="F36" s="186">
        <f>+VLOOKUP($E36,[1]tb!$B$12:$AC$193,4,0)</f>
        <v>0</v>
      </c>
      <c r="G36" s="186">
        <f>+VLOOKUP($E36,[1]tb!$B$12:$AC$193,6,0)</f>
        <v>0</v>
      </c>
      <c r="H36" s="186">
        <f>+VLOOKUP($E36,[1]tb!$B$12:$AC$193,8,0)</f>
        <v>0</v>
      </c>
      <c r="I36" s="186">
        <f>+VLOOKUP($E36,[1]tb!$B$12:$AC$193,10,0)</f>
        <v>0</v>
      </c>
      <c r="J36" s="186">
        <f>+VLOOKUP($E36,[1]tb!$B$12:$AC$193,12,0)</f>
        <v>0</v>
      </c>
      <c r="K36" s="186">
        <f>+VLOOKUP($E36,[1]tb!$B$12:$AC$193,14,0)</f>
        <v>0</v>
      </c>
      <c r="L36" s="186">
        <f>+VLOOKUP($E36,[1]tb!$B$12:$AC$193,16,0)</f>
        <v>0</v>
      </c>
      <c r="M36" s="186">
        <f>+VLOOKUP($E36,[1]tb!$B$12:$AC$193,18,0)</f>
        <v>0</v>
      </c>
      <c r="N36" s="186">
        <f>+VLOOKUP($E36,[1]tb!$B$12:$AC$193,20,0)</f>
        <v>0</v>
      </c>
      <c r="O36" s="186">
        <f>+VLOOKUP($E36,[1]tb!$B$12:$AC$193,22,0)</f>
        <v>0</v>
      </c>
      <c r="P36" s="186">
        <f>+VLOOKUP($E36,[1]tb!$B$12:$AC$193,24,0)</f>
        <v>0</v>
      </c>
      <c r="Q36" s="186">
        <f>+VLOOKUP($E36,[1]tb!$B$12:$AC$193,26,0)</f>
        <v>0</v>
      </c>
      <c r="R36" s="186">
        <f t="shared" si="3"/>
        <v>0</v>
      </c>
    </row>
    <row r="37" spans="3:18">
      <c r="D37" s="204" t="s">
        <v>299</v>
      </c>
      <c r="E37" s="206" t="s">
        <v>77</v>
      </c>
      <c r="F37" s="186">
        <f>+VLOOKUP($E37,[1]tb!$B$12:$AC$193,4,0)</f>
        <v>72319</v>
      </c>
      <c r="G37" s="186">
        <f>+VLOOKUP($E37,[1]tb!$B$12:$AC$193,6,0)</f>
        <v>93519</v>
      </c>
      <c r="H37" s="186">
        <f>+VLOOKUP($E37,[1]tb!$B$12:$AC$193,8,0)</f>
        <v>198283.99</v>
      </c>
      <c r="I37" s="186">
        <f>+VLOOKUP($E37,[1]tb!$B$12:$AC$193,10,0)</f>
        <v>198283.99</v>
      </c>
      <c r="J37" s="186">
        <f>+VLOOKUP($E37,[1]tb!$B$12:$AC$193,12,0)</f>
        <v>198283.99</v>
      </c>
      <c r="K37" s="186">
        <f>+VLOOKUP($E37,[1]tb!$B$12:$AC$193,14,0)</f>
        <v>198283.99</v>
      </c>
      <c r="L37" s="186">
        <f>+VLOOKUP($E37,[1]tb!$B$12:$AC$193,16,0)</f>
        <v>198283.99</v>
      </c>
      <c r="M37" s="186">
        <f>+VLOOKUP($E37,[1]tb!$B$12:$AC$193,18,0)</f>
        <v>198283.99</v>
      </c>
      <c r="N37" s="186">
        <f>+VLOOKUP($E37,[1]tb!$B$12:$AC$193,20,0)</f>
        <v>198283.99</v>
      </c>
      <c r="O37" s="186">
        <f>+VLOOKUP($E37,[1]tb!$B$12:$AC$193,22,0)</f>
        <v>198283.99</v>
      </c>
      <c r="P37" s="186">
        <f>+VLOOKUP($E37,[1]tb!$B$12:$AC$193,24,0)</f>
        <v>198283.99</v>
      </c>
      <c r="Q37" s="186">
        <f>+VLOOKUP($E37,[1]tb!$B$12:$AC$193,26,0)</f>
        <v>198283.99</v>
      </c>
      <c r="R37" s="186">
        <f t="shared" si="3"/>
        <v>198283.99</v>
      </c>
    </row>
    <row r="38" spans="3:18">
      <c r="D38" s="204" t="s">
        <v>300</v>
      </c>
      <c r="E38" s="206" t="s">
        <v>78</v>
      </c>
      <c r="F38" s="186">
        <f>+VLOOKUP($E38,[1]tb!$B$12:$AC$193,4,0)</f>
        <v>14940</v>
      </c>
      <c r="G38" s="186">
        <f>+VLOOKUP($E38,[1]tb!$B$12:$AC$193,6,0)</f>
        <v>45262</v>
      </c>
      <c r="H38" s="186">
        <f>+VLOOKUP($E38,[1]tb!$B$12:$AC$193,8,0)</f>
        <v>151564</v>
      </c>
      <c r="I38" s="186">
        <f>+VLOOKUP($E38,[1]tb!$B$12:$AC$193,10,0)</f>
        <v>151564</v>
      </c>
      <c r="J38" s="186">
        <f>+VLOOKUP($E38,[1]tb!$B$12:$AC$193,12,0)</f>
        <v>151564</v>
      </c>
      <c r="K38" s="186">
        <f>+VLOOKUP($E38,[1]tb!$B$12:$AC$193,14,0)</f>
        <v>151564</v>
      </c>
      <c r="L38" s="186">
        <f>+VLOOKUP($E38,[1]tb!$B$12:$AC$193,16,0)</f>
        <v>151564</v>
      </c>
      <c r="M38" s="186">
        <f>+VLOOKUP($E38,[1]tb!$B$12:$AC$193,18,0)</f>
        <v>151564</v>
      </c>
      <c r="N38" s="186">
        <f>+VLOOKUP($E38,[1]tb!$B$12:$AC$193,20,0)</f>
        <v>151564</v>
      </c>
      <c r="O38" s="186">
        <f>+VLOOKUP($E38,[1]tb!$B$12:$AC$193,22,0)</f>
        <v>151564</v>
      </c>
      <c r="P38" s="186">
        <f>+VLOOKUP($E38,[1]tb!$B$12:$AC$193,24,0)</f>
        <v>151564</v>
      </c>
      <c r="Q38" s="186">
        <f>+VLOOKUP($E38,[1]tb!$B$12:$AC$193,26,0)</f>
        <v>151564</v>
      </c>
      <c r="R38" s="186">
        <f t="shared" si="3"/>
        <v>151564</v>
      </c>
    </row>
    <row r="39" spans="3:18">
      <c r="D39" s="204" t="s">
        <v>301</v>
      </c>
      <c r="E39" s="206" t="s">
        <v>79</v>
      </c>
      <c r="F39" s="186">
        <f>+VLOOKUP($E39,[1]tb!$B$12:$AC$193,4,0)</f>
        <v>22453.759999999995</v>
      </c>
      <c r="G39" s="186">
        <f>+VLOOKUP($E39,[1]tb!$B$12:$AC$193,6,0)</f>
        <v>22453.759999999995</v>
      </c>
      <c r="H39" s="186">
        <f>+VLOOKUP($E39,[1]tb!$B$12:$AC$193,8,0)</f>
        <v>22453.759999999995</v>
      </c>
      <c r="I39" s="186">
        <f>+VLOOKUP($E39,[1]tb!$B$12:$AC$193,10,0)</f>
        <v>22453.759999999995</v>
      </c>
      <c r="J39" s="186">
        <f>+VLOOKUP($E39,[1]tb!$B$12:$AC$193,12,0)</f>
        <v>22453.759999999995</v>
      </c>
      <c r="K39" s="186">
        <f>+VLOOKUP($E39,[1]tb!$B$12:$AC$193,14,0)</f>
        <v>22453.759999999995</v>
      </c>
      <c r="L39" s="186">
        <f>+VLOOKUP($E39,[1]tb!$B$12:$AC$193,16,0)</f>
        <v>22453.759999999995</v>
      </c>
      <c r="M39" s="186">
        <f>+VLOOKUP($E39,[1]tb!$B$12:$AC$193,18,0)</f>
        <v>22453.759999999995</v>
      </c>
      <c r="N39" s="186">
        <f>+VLOOKUP($E39,[1]tb!$B$12:$AC$193,20,0)</f>
        <v>22453.759999999995</v>
      </c>
      <c r="O39" s="186">
        <f>+VLOOKUP($E39,[1]tb!$B$12:$AC$193,22,0)</f>
        <v>22453.759999999995</v>
      </c>
      <c r="P39" s="186">
        <f>+VLOOKUP($E39,[1]tb!$B$12:$AC$193,24,0)</f>
        <v>22453.759999999995</v>
      </c>
      <c r="Q39" s="186">
        <f>+VLOOKUP($E39,[1]tb!$B$12:$AC$193,26,0)</f>
        <v>22453.759999999995</v>
      </c>
      <c r="R39" s="186">
        <f t="shared" si="3"/>
        <v>22453.759999999995</v>
      </c>
    </row>
    <row r="40" spans="3:18" hidden="1">
      <c r="D40" s="204" t="s">
        <v>302</v>
      </c>
      <c r="E40" s="206" t="s">
        <v>80</v>
      </c>
      <c r="F40" s="186">
        <f>+VLOOKUP($E40,[1]tb!$B$12:$AC$193,4,0)</f>
        <v>0</v>
      </c>
      <c r="G40" s="186">
        <f>+VLOOKUP($E40,[1]tb!$B$12:$AC$193,6,0)</f>
        <v>0</v>
      </c>
      <c r="H40" s="186">
        <f>+VLOOKUP($E40,[1]tb!$B$12:$AC$193,8,0)</f>
        <v>0</v>
      </c>
      <c r="I40" s="186">
        <f>+VLOOKUP($E40,[1]tb!$B$12:$AC$193,10,0)</f>
        <v>0</v>
      </c>
      <c r="J40" s="186">
        <f>+VLOOKUP($E40,[1]tb!$B$12:$AC$193,12,0)</f>
        <v>0</v>
      </c>
      <c r="K40" s="186">
        <f>+VLOOKUP($E40,[1]tb!$B$12:$AC$193,14,0)</f>
        <v>0</v>
      </c>
      <c r="L40" s="186">
        <f>+VLOOKUP($E40,[1]tb!$B$12:$AC$193,16,0)</f>
        <v>0</v>
      </c>
      <c r="M40" s="186">
        <f>+VLOOKUP($E40,[1]tb!$B$12:$AC$193,18,0)</f>
        <v>0</v>
      </c>
      <c r="N40" s="186">
        <f>+VLOOKUP($E40,[1]tb!$B$12:$AC$193,20,0)</f>
        <v>0</v>
      </c>
      <c r="O40" s="186">
        <f>+VLOOKUP($E40,[1]tb!$B$12:$AC$193,22,0)</f>
        <v>0</v>
      </c>
      <c r="P40" s="186">
        <f>+VLOOKUP($E40,[1]tb!$B$12:$AC$193,24,0)</f>
        <v>0</v>
      </c>
      <c r="Q40" s="186">
        <f>+VLOOKUP($E40,[1]tb!$B$12:$AC$193,26,0)</f>
        <v>0</v>
      </c>
      <c r="R40" s="186">
        <f t="shared" si="3"/>
        <v>0</v>
      </c>
    </row>
    <row r="41" spans="3:18" hidden="1">
      <c r="D41" s="204" t="s">
        <v>303</v>
      </c>
      <c r="E41" s="206" t="s">
        <v>81</v>
      </c>
      <c r="F41" s="186">
        <f>+VLOOKUP($E41,[1]tb!$B$12:$AC$193,4,0)</f>
        <v>0</v>
      </c>
      <c r="G41" s="186">
        <f>+VLOOKUP($E41,[1]tb!$B$12:$AC$193,6,0)</f>
        <v>0</v>
      </c>
      <c r="H41" s="186">
        <f>+VLOOKUP($E41,[1]tb!$B$12:$AC$193,8,0)</f>
        <v>0</v>
      </c>
      <c r="I41" s="186">
        <f>+VLOOKUP($E41,[1]tb!$B$12:$AC$193,10,0)</f>
        <v>0</v>
      </c>
      <c r="J41" s="186">
        <f>+VLOOKUP($E41,[1]tb!$B$12:$AC$193,12,0)</f>
        <v>0</v>
      </c>
      <c r="K41" s="186">
        <f>+VLOOKUP($E41,[1]tb!$B$12:$AC$193,14,0)</f>
        <v>0</v>
      </c>
      <c r="L41" s="186">
        <f>+VLOOKUP($E41,[1]tb!$B$12:$AC$193,16,0)</f>
        <v>0</v>
      </c>
      <c r="M41" s="186">
        <f>+VLOOKUP($E41,[1]tb!$B$12:$AC$193,18,0)</f>
        <v>0</v>
      </c>
      <c r="N41" s="186">
        <f>+VLOOKUP($E41,[1]tb!$B$12:$AC$193,20,0)</f>
        <v>0</v>
      </c>
      <c r="O41" s="186">
        <f>+VLOOKUP($E41,[1]tb!$B$12:$AC$193,22,0)</f>
        <v>0</v>
      </c>
      <c r="P41" s="186">
        <f>+VLOOKUP($E41,[1]tb!$B$12:$AC$193,24,0)</f>
        <v>0</v>
      </c>
      <c r="Q41" s="186">
        <f>+VLOOKUP($E41,[1]tb!$B$12:$AC$193,26,0)</f>
        <v>0</v>
      </c>
      <c r="R41" s="186">
        <f t="shared" si="3"/>
        <v>0</v>
      </c>
    </row>
    <row r="42" spans="3:18">
      <c r="D42" s="204" t="s">
        <v>304</v>
      </c>
      <c r="E42" s="206" t="s">
        <v>82</v>
      </c>
      <c r="F42" s="186">
        <f>+VLOOKUP($E42,[1]tb!$B$12:$AC$193,4,0)</f>
        <v>32154.300000000003</v>
      </c>
      <c r="G42" s="186">
        <f>+VLOOKUP($E42,[1]tb!$B$12:$AC$193,6,0)</f>
        <v>24423.860000000004</v>
      </c>
      <c r="H42" s="186">
        <f>+VLOOKUP($E42,[1]tb!$B$12:$AC$193,8,0)</f>
        <v>16335.310000000005</v>
      </c>
      <c r="I42" s="186">
        <f>+VLOOKUP($E42,[1]tb!$B$12:$AC$193,10,0)</f>
        <v>16335.310000000005</v>
      </c>
      <c r="J42" s="186">
        <f>+VLOOKUP($E42,[1]tb!$B$12:$AC$193,12,0)</f>
        <v>16335.310000000005</v>
      </c>
      <c r="K42" s="186">
        <f>+VLOOKUP($E42,[1]tb!$B$12:$AC$193,14,0)</f>
        <v>16335.310000000005</v>
      </c>
      <c r="L42" s="186">
        <f>+VLOOKUP($E42,[1]tb!$B$12:$AC$193,16,0)</f>
        <v>16335.310000000005</v>
      </c>
      <c r="M42" s="186">
        <f>+VLOOKUP($E42,[1]tb!$B$12:$AC$193,18,0)</f>
        <v>16335.310000000005</v>
      </c>
      <c r="N42" s="186">
        <f>+VLOOKUP($E42,[1]tb!$B$12:$AC$193,20,0)</f>
        <v>16335.310000000005</v>
      </c>
      <c r="O42" s="186">
        <f>+VLOOKUP($E42,[1]tb!$B$12:$AC$193,22,0)</f>
        <v>16335.310000000005</v>
      </c>
      <c r="P42" s="186">
        <f>+VLOOKUP($E42,[1]tb!$B$12:$AC$193,24,0)</f>
        <v>16335.310000000005</v>
      </c>
      <c r="Q42" s="186">
        <f>+VLOOKUP($E42,[1]tb!$B$12:$AC$193,26,0)</f>
        <v>16335.310000000005</v>
      </c>
      <c r="R42" s="186">
        <f t="shared" si="3"/>
        <v>16335.310000000005</v>
      </c>
    </row>
    <row r="43" spans="3:18">
      <c r="D43" s="204" t="s">
        <v>305</v>
      </c>
      <c r="E43" s="206" t="s">
        <v>83</v>
      </c>
      <c r="F43" s="186">
        <f>+VLOOKUP($E43,[1]tb!$B$12:$AC$193,4,0)</f>
        <v>5253.75</v>
      </c>
      <c r="G43" s="186">
        <f>+VLOOKUP($E43,[1]tb!$B$12:$AC$193,6,0)</f>
        <v>10732.5</v>
      </c>
      <c r="H43" s="186">
        <f>+VLOOKUP($E43,[1]tb!$B$12:$AC$193,8,0)</f>
        <v>14107.5</v>
      </c>
      <c r="I43" s="186">
        <f>+VLOOKUP($E43,[1]tb!$B$12:$AC$193,10,0)</f>
        <v>14107.5</v>
      </c>
      <c r="J43" s="186">
        <f>+VLOOKUP($E43,[1]tb!$B$12:$AC$193,12,0)</f>
        <v>14107.5</v>
      </c>
      <c r="K43" s="186">
        <f>+VLOOKUP($E43,[1]tb!$B$12:$AC$193,14,0)</f>
        <v>14107.5</v>
      </c>
      <c r="L43" s="186">
        <f>+VLOOKUP($E43,[1]tb!$B$12:$AC$193,16,0)</f>
        <v>14107.5</v>
      </c>
      <c r="M43" s="186">
        <f>+VLOOKUP($E43,[1]tb!$B$12:$AC$193,18,0)</f>
        <v>14107.5</v>
      </c>
      <c r="N43" s="186">
        <f>+VLOOKUP($E43,[1]tb!$B$12:$AC$193,20,0)</f>
        <v>14107.5</v>
      </c>
      <c r="O43" s="186">
        <f>+VLOOKUP($E43,[1]tb!$B$12:$AC$193,22,0)</f>
        <v>14107.5</v>
      </c>
      <c r="P43" s="186">
        <f>+VLOOKUP($E43,[1]tb!$B$12:$AC$193,24,0)</f>
        <v>14107.5</v>
      </c>
      <c r="Q43" s="186">
        <f>+VLOOKUP($E43,[1]tb!$B$12:$AC$193,26,0)</f>
        <v>14107.5</v>
      </c>
      <c r="R43" s="186">
        <f t="shared" si="3"/>
        <v>14107.5</v>
      </c>
    </row>
    <row r="44" spans="3:18">
      <c r="D44" s="204" t="s">
        <v>306</v>
      </c>
      <c r="E44" s="206" t="s">
        <v>84</v>
      </c>
      <c r="F44" s="186">
        <f>+VLOOKUP($E44,[1]tb!$B$12:$AC$193,4,0)</f>
        <v>11510.65</v>
      </c>
      <c r="G44" s="186">
        <f>+VLOOKUP($E44,[1]tb!$B$12:$AC$193,6,0)</f>
        <v>11510.65</v>
      </c>
      <c r="H44" s="186">
        <f>+VLOOKUP($E44,[1]tb!$B$12:$AC$193,8,0)</f>
        <v>11510.65</v>
      </c>
      <c r="I44" s="186">
        <f>+VLOOKUP($E44,[1]tb!$B$12:$AC$193,10,0)</f>
        <v>11510.65</v>
      </c>
      <c r="J44" s="186">
        <f>+VLOOKUP($E44,[1]tb!$B$12:$AC$193,12,0)</f>
        <v>11510.65</v>
      </c>
      <c r="K44" s="186">
        <f>+VLOOKUP($E44,[1]tb!$B$12:$AC$193,14,0)</f>
        <v>11510.65</v>
      </c>
      <c r="L44" s="186">
        <f>+VLOOKUP($E44,[1]tb!$B$12:$AC$193,16,0)</f>
        <v>11510.65</v>
      </c>
      <c r="M44" s="186">
        <f>+VLOOKUP($E44,[1]tb!$B$12:$AC$193,18,0)</f>
        <v>11510.65</v>
      </c>
      <c r="N44" s="186">
        <f>+VLOOKUP($E44,[1]tb!$B$12:$AC$193,20,0)</f>
        <v>11510.65</v>
      </c>
      <c r="O44" s="186">
        <f>+VLOOKUP($E44,[1]tb!$B$12:$AC$193,22,0)</f>
        <v>11510.65</v>
      </c>
      <c r="P44" s="186">
        <f>+VLOOKUP($E44,[1]tb!$B$12:$AC$193,24,0)</f>
        <v>11510.65</v>
      </c>
      <c r="Q44" s="186">
        <f>+VLOOKUP($E44,[1]tb!$B$12:$AC$193,26,0)</f>
        <v>11510.65</v>
      </c>
      <c r="R44" s="186">
        <f t="shared" si="3"/>
        <v>11510.65</v>
      </c>
    </row>
    <row r="45" spans="3:18">
      <c r="D45" s="204" t="s">
        <v>307</v>
      </c>
      <c r="E45" s="206" t="s">
        <v>85</v>
      </c>
      <c r="F45" s="186">
        <f>+VLOOKUP($E45,[1]tb!$B$12:$AC$193,4,0)</f>
        <v>5000</v>
      </c>
      <c r="G45" s="186">
        <f>+VLOOKUP($E45,[1]tb!$B$12:$AC$193,6,0)</f>
        <v>5000</v>
      </c>
      <c r="H45" s="186">
        <f>+VLOOKUP($E45,[1]tb!$B$12:$AC$193,8,0)</f>
        <v>5000</v>
      </c>
      <c r="I45" s="186">
        <f>+VLOOKUP($E45,[1]tb!$B$12:$AC$193,10,0)</f>
        <v>5000</v>
      </c>
      <c r="J45" s="186">
        <f>+VLOOKUP($E45,[1]tb!$B$12:$AC$193,12,0)</f>
        <v>5000</v>
      </c>
      <c r="K45" s="186">
        <f>+VLOOKUP($E45,[1]tb!$B$12:$AC$193,14,0)</f>
        <v>5000</v>
      </c>
      <c r="L45" s="186">
        <f>+VLOOKUP($E45,[1]tb!$B$12:$AC$193,16,0)</f>
        <v>5000</v>
      </c>
      <c r="M45" s="186">
        <f>+VLOOKUP($E45,[1]tb!$B$12:$AC$193,18,0)</f>
        <v>5000</v>
      </c>
      <c r="N45" s="186">
        <f>+VLOOKUP($E45,[1]tb!$B$12:$AC$193,20,0)</f>
        <v>5000</v>
      </c>
      <c r="O45" s="186">
        <f>+VLOOKUP($E45,[1]tb!$B$12:$AC$193,22,0)</f>
        <v>5000</v>
      </c>
      <c r="P45" s="186">
        <f>+VLOOKUP($E45,[1]tb!$B$12:$AC$193,24,0)</f>
        <v>5000</v>
      </c>
      <c r="Q45" s="186">
        <f>+VLOOKUP($E45,[1]tb!$B$12:$AC$193,26,0)</f>
        <v>5000</v>
      </c>
      <c r="R45" s="186">
        <f t="shared" si="3"/>
        <v>5000</v>
      </c>
    </row>
    <row r="46" spans="3:18">
      <c r="D46" s="204" t="s">
        <v>308</v>
      </c>
      <c r="E46" s="206" t="s">
        <v>86</v>
      </c>
      <c r="F46" s="186">
        <f>+VLOOKUP($E46,[1]tb!$B$12:$AC$193,4,0)</f>
        <v>17952.11</v>
      </c>
      <c r="G46" s="186">
        <f>+VLOOKUP($E46,[1]tb!$B$12:$AC$193,6,0)</f>
        <v>17952.11</v>
      </c>
      <c r="H46" s="186">
        <f>+VLOOKUP($E46,[1]tb!$B$12:$AC$193,8,0)</f>
        <v>17952.11</v>
      </c>
      <c r="I46" s="186">
        <f>+VLOOKUP($E46,[1]tb!$B$12:$AC$193,10,0)</f>
        <v>17952.11</v>
      </c>
      <c r="J46" s="186">
        <f>+VLOOKUP($E46,[1]tb!$B$12:$AC$193,12,0)</f>
        <v>17952.11</v>
      </c>
      <c r="K46" s="186">
        <f>+VLOOKUP($E46,[1]tb!$B$12:$AC$193,14,0)</f>
        <v>17952.11</v>
      </c>
      <c r="L46" s="186">
        <f>+VLOOKUP($E46,[1]tb!$B$12:$AC$193,16,0)</f>
        <v>17952.11</v>
      </c>
      <c r="M46" s="186">
        <f>+VLOOKUP($E46,[1]tb!$B$12:$AC$193,18,0)</f>
        <v>17952.11</v>
      </c>
      <c r="N46" s="186">
        <f>+VLOOKUP($E46,[1]tb!$B$12:$AC$193,20,0)</f>
        <v>17952.11</v>
      </c>
      <c r="O46" s="186">
        <f>+VLOOKUP($E46,[1]tb!$B$12:$AC$193,22,0)</f>
        <v>17952.11</v>
      </c>
      <c r="P46" s="186">
        <f>+VLOOKUP($E46,[1]tb!$B$12:$AC$193,24,0)</f>
        <v>17952.11</v>
      </c>
      <c r="Q46" s="186">
        <f>+VLOOKUP($E46,[1]tb!$B$12:$AC$193,26,0)</f>
        <v>17952.11</v>
      </c>
      <c r="R46" s="186">
        <f t="shared" si="3"/>
        <v>17952.11</v>
      </c>
    </row>
    <row r="47" spans="3:18" ht="5.0999999999999996" customHeight="1"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3:18">
      <c r="D48" s="210" t="s">
        <v>711</v>
      </c>
      <c r="F48" s="211">
        <f>+F35+F29+F23+F12</f>
        <v>2863589.8800000004</v>
      </c>
      <c r="G48" s="211">
        <f>+G35+G29+G23+G12</f>
        <v>3372136.9000000004</v>
      </c>
      <c r="H48" s="211">
        <f t="shared" ref="H48:Q48" si="6">+H35+H29+H23+H12</f>
        <v>3754963.3600000003</v>
      </c>
      <c r="I48" s="211">
        <f t="shared" si="6"/>
        <v>3754963.3600000003</v>
      </c>
      <c r="J48" s="211">
        <f t="shared" si="6"/>
        <v>3754963.3600000003</v>
      </c>
      <c r="K48" s="211">
        <f t="shared" si="6"/>
        <v>3754963.3600000003</v>
      </c>
      <c r="L48" s="211">
        <f t="shared" si="6"/>
        <v>3754963.3600000003</v>
      </c>
      <c r="M48" s="211">
        <f t="shared" si="6"/>
        <v>3754963.3600000003</v>
      </c>
      <c r="N48" s="211">
        <f t="shared" si="6"/>
        <v>3754963.3600000003</v>
      </c>
      <c r="O48" s="211">
        <f t="shared" si="6"/>
        <v>3754963.3600000003</v>
      </c>
      <c r="P48" s="211">
        <f t="shared" si="6"/>
        <v>3754963.3600000003</v>
      </c>
      <c r="Q48" s="211">
        <f t="shared" si="6"/>
        <v>3754963.3600000003</v>
      </c>
      <c r="R48" s="211">
        <f t="shared" si="3"/>
        <v>3754963.3600000003</v>
      </c>
    </row>
    <row r="49" spans="2:18" ht="5.0999999999999996" customHeight="1"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2:18">
      <c r="B50" s="208" t="s">
        <v>712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2:18" ht="5.0999999999999996" customHeight="1">
      <c r="B51" s="208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2:18">
      <c r="C52" s="208" t="s">
        <v>713</v>
      </c>
      <c r="F52" s="209">
        <f>+F53+F56+F57+F60+F63+F66+F69+F72+F75+F78+F81+F84+F85+F88</f>
        <v>27434880.300000004</v>
      </c>
      <c r="G52" s="209">
        <f>+G53+G56+G57+G60+G63+G66+G69+G72+G75+G78+G81+G84+G85+G88</f>
        <v>27251998.330000002</v>
      </c>
      <c r="H52" s="209">
        <f t="shared" ref="H52:Q52" si="7">+H53+H56+H57+H60+H63+H66+H69+H72+H75+H78+H81+H84+H85+H88</f>
        <v>27100426.740000002</v>
      </c>
      <c r="I52" s="209">
        <f t="shared" si="7"/>
        <v>27100426.740000002</v>
      </c>
      <c r="J52" s="209">
        <f t="shared" si="7"/>
        <v>27100426.740000002</v>
      </c>
      <c r="K52" s="209">
        <f t="shared" si="7"/>
        <v>27100426.740000002</v>
      </c>
      <c r="L52" s="209">
        <f t="shared" si="7"/>
        <v>27100426.740000002</v>
      </c>
      <c r="M52" s="209">
        <f t="shared" si="7"/>
        <v>27100426.740000002</v>
      </c>
      <c r="N52" s="209">
        <f t="shared" si="7"/>
        <v>27100426.740000002</v>
      </c>
      <c r="O52" s="209">
        <f t="shared" si="7"/>
        <v>27100426.740000002</v>
      </c>
      <c r="P52" s="209">
        <f t="shared" si="7"/>
        <v>27100426.740000002</v>
      </c>
      <c r="Q52" s="209">
        <f t="shared" si="7"/>
        <v>27100426.740000002</v>
      </c>
      <c r="R52" s="209">
        <f t="shared" ref="R52:R114" si="8">+Q52</f>
        <v>27100426.740000002</v>
      </c>
    </row>
    <row r="53" spans="2:18">
      <c r="D53" s="204" t="s">
        <v>254</v>
      </c>
      <c r="E53" s="206" t="s">
        <v>32</v>
      </c>
      <c r="F53" s="212">
        <f>+VLOOKUP($E53,[1]tb!$B$12:$AC$193,4,0)</f>
        <v>551250</v>
      </c>
      <c r="G53" s="212">
        <f>+VLOOKUP($E53,[1]tb!$B$12:$AC$193,6,0)</f>
        <v>551250</v>
      </c>
      <c r="H53" s="212">
        <f>+VLOOKUP($E53,[1]tb!$B$12:$AC$193,8,0)</f>
        <v>551250</v>
      </c>
      <c r="I53" s="212">
        <f>+VLOOKUP($E53,[1]tb!$B$12:$AC$193,10,0)</f>
        <v>551250</v>
      </c>
      <c r="J53" s="212">
        <f>+VLOOKUP($E53,[1]tb!$B$12:$AC$193,12,0)</f>
        <v>551250</v>
      </c>
      <c r="K53" s="212">
        <f>+VLOOKUP($E53,[1]tb!$B$12:$AC$193,14,0)</f>
        <v>551250</v>
      </c>
      <c r="L53" s="212">
        <f>+VLOOKUP($E53,[1]tb!$B$12:$AC$193,16,0)</f>
        <v>551250</v>
      </c>
      <c r="M53" s="212">
        <f>+VLOOKUP($E53,[1]tb!$B$12:$AC$193,18,0)</f>
        <v>551250</v>
      </c>
      <c r="N53" s="212">
        <f>+VLOOKUP($E53,[1]tb!$B$12:$AC$193,20,0)</f>
        <v>551250</v>
      </c>
      <c r="O53" s="212">
        <f>+VLOOKUP($E53,[1]tb!$B$12:$AC$193,22,0)</f>
        <v>551250</v>
      </c>
      <c r="P53" s="212">
        <f>+VLOOKUP($E53,[1]tb!$B$12:$AC$193,24,0)</f>
        <v>551250</v>
      </c>
      <c r="Q53" s="212">
        <f>+VLOOKUP($E53,[1]tb!$B$12:$AC$193,26,0)</f>
        <v>551250</v>
      </c>
      <c r="R53" s="212">
        <f t="shared" si="8"/>
        <v>551250</v>
      </c>
    </row>
    <row r="54" spans="2:18">
      <c r="D54" s="204" t="s">
        <v>255</v>
      </c>
      <c r="E54" s="206" t="s">
        <v>33</v>
      </c>
      <c r="F54" s="186">
        <f>+VLOOKUP($E54,[1]tb!$B$12:$AC$193,4,0)</f>
        <v>525000</v>
      </c>
      <c r="G54" s="186">
        <f>+VLOOKUP($E54,[1]tb!$B$12:$AC$193,6,0)</f>
        <v>525000</v>
      </c>
      <c r="H54" s="186">
        <f>+VLOOKUP($E54,[1]tb!$B$12:$AC$193,8,0)</f>
        <v>525000</v>
      </c>
      <c r="I54" s="186">
        <f>+VLOOKUP($E54,[1]tb!$B$12:$AC$193,10,0)</f>
        <v>525000</v>
      </c>
      <c r="J54" s="186">
        <f>+VLOOKUP($E54,[1]tb!$B$12:$AC$193,12,0)</f>
        <v>525000</v>
      </c>
      <c r="K54" s="186">
        <f>+VLOOKUP($E54,[1]tb!$B$12:$AC$193,14,0)</f>
        <v>525000</v>
      </c>
      <c r="L54" s="186">
        <f>+VLOOKUP($E54,[1]tb!$B$12:$AC$193,16,0)</f>
        <v>525000</v>
      </c>
      <c r="M54" s="186">
        <f>+VLOOKUP($E54,[1]tb!$B$12:$AC$193,18,0)</f>
        <v>525000</v>
      </c>
      <c r="N54" s="186">
        <f>+VLOOKUP($E54,[1]tb!$B$12:$AC$193,20,0)</f>
        <v>525000</v>
      </c>
      <c r="O54" s="186">
        <f>+VLOOKUP($E54,[1]tb!$B$12:$AC$193,22,0)</f>
        <v>525000</v>
      </c>
      <c r="P54" s="186">
        <f>+VLOOKUP($E54,[1]tb!$B$12:$AC$193,24,0)</f>
        <v>525000</v>
      </c>
      <c r="Q54" s="186">
        <f>+VLOOKUP($E54,[1]tb!$B$12:$AC$193,26,0)</f>
        <v>525000</v>
      </c>
      <c r="R54" s="186">
        <f t="shared" si="8"/>
        <v>525000</v>
      </c>
    </row>
    <row r="55" spans="2:18">
      <c r="D55" s="204" t="s">
        <v>256</v>
      </c>
      <c r="E55" s="206" t="s">
        <v>34</v>
      </c>
      <c r="F55" s="186">
        <f>+VLOOKUP($E55,[1]tb!$B$12:$AC$193,5,0)</f>
        <v>468759.38</v>
      </c>
      <c r="G55" s="186">
        <f>+VLOOKUP($E55,[1]tb!$B$12:$AC$193,7,0)</f>
        <v>468956.25</v>
      </c>
      <c r="H55" s="186">
        <f>+VLOOKUP($E55,[1]tb!$B$12:$AC$193,9,0)</f>
        <v>469153.13</v>
      </c>
      <c r="I55" s="186">
        <f>+VLOOKUP($E55,[1]tb!$B$12:$AC$193,11,0)</f>
        <v>469153.13</v>
      </c>
      <c r="J55" s="186">
        <f>+VLOOKUP($E55,[1]tb!$B$12:$AC$193,13,0)</f>
        <v>469153.13</v>
      </c>
      <c r="K55" s="186">
        <f>+VLOOKUP($E55,[1]tb!$B$12:$AC$193,15,0)</f>
        <v>469153.13</v>
      </c>
      <c r="L55" s="186">
        <f>+VLOOKUP($E55,[1]tb!$B$12:$AC$193,17,0)</f>
        <v>469153.13</v>
      </c>
      <c r="M55" s="186">
        <f>+VLOOKUP($E55,[1]tb!$B$12:$AC$193,19,0)</f>
        <v>469153.13</v>
      </c>
      <c r="N55" s="186">
        <f>+VLOOKUP($E55,[1]tb!$B$12:$AC$193,21,0)</f>
        <v>469153.13</v>
      </c>
      <c r="O55" s="186">
        <f>+VLOOKUP($E55,[1]tb!$B$12:$AC$193,23,0)</f>
        <v>469153.13</v>
      </c>
      <c r="P55" s="186">
        <f>+VLOOKUP($E55,[1]tb!$B$12:$AC$193,25,0)</f>
        <v>469153.13</v>
      </c>
      <c r="Q55" s="186">
        <f>+VLOOKUP($E55,[1]tb!$B$12:$AC$193,27,0)</f>
        <v>469153.13</v>
      </c>
      <c r="R55" s="186">
        <f t="shared" si="8"/>
        <v>469153.13</v>
      </c>
    </row>
    <row r="56" spans="2:18">
      <c r="D56" s="204" t="s">
        <v>536</v>
      </c>
      <c r="F56" s="212">
        <f>+F54-F55</f>
        <v>56240.619999999995</v>
      </c>
      <c r="G56" s="212">
        <f>+G54-G55</f>
        <v>56043.75</v>
      </c>
      <c r="H56" s="212">
        <f t="shared" ref="H56:Q56" si="9">+H54-H55</f>
        <v>55846.869999999995</v>
      </c>
      <c r="I56" s="212">
        <f t="shared" si="9"/>
        <v>55846.869999999995</v>
      </c>
      <c r="J56" s="212">
        <f t="shared" si="9"/>
        <v>55846.869999999995</v>
      </c>
      <c r="K56" s="212">
        <f t="shared" si="9"/>
        <v>55846.869999999995</v>
      </c>
      <c r="L56" s="212">
        <f t="shared" si="9"/>
        <v>55846.869999999995</v>
      </c>
      <c r="M56" s="212">
        <f t="shared" si="9"/>
        <v>55846.869999999995</v>
      </c>
      <c r="N56" s="212">
        <f t="shared" si="9"/>
        <v>55846.869999999995</v>
      </c>
      <c r="O56" s="212">
        <f t="shared" si="9"/>
        <v>55846.869999999995</v>
      </c>
      <c r="P56" s="212">
        <f t="shared" si="9"/>
        <v>55846.869999999995</v>
      </c>
      <c r="Q56" s="212">
        <f t="shared" si="9"/>
        <v>55846.869999999995</v>
      </c>
      <c r="R56" s="212">
        <f t="shared" si="8"/>
        <v>55846.869999999995</v>
      </c>
    </row>
    <row r="57" spans="2:18" hidden="1">
      <c r="D57" s="204" t="s">
        <v>257</v>
      </c>
      <c r="E57" s="206" t="s">
        <v>35</v>
      </c>
      <c r="F57" s="212">
        <f>+VLOOKUP($E57,[1]tb!$B$12:$AC$193,4,0)</f>
        <v>0</v>
      </c>
      <c r="G57" s="212">
        <f>+VLOOKUP($E57,[1]tb!$B$12:$AC$193,6,0)</f>
        <v>0</v>
      </c>
      <c r="H57" s="212">
        <f>+VLOOKUP($E57,[1]tb!$B$12:$AC$193,8,0)</f>
        <v>0</v>
      </c>
      <c r="I57" s="212">
        <f>+VLOOKUP($E57,[1]tb!$B$12:$AC$193,10,0)</f>
        <v>0</v>
      </c>
      <c r="J57" s="212">
        <f>+VLOOKUP($E57,[1]tb!$B$12:$AC$193,12,0)</f>
        <v>0</v>
      </c>
      <c r="K57" s="212">
        <f>+VLOOKUP($E57,[1]tb!$B$12:$AC$193,14,0)</f>
        <v>0</v>
      </c>
      <c r="L57" s="212">
        <f>+VLOOKUP($E57,[1]tb!$B$12:$AC$193,16,0)</f>
        <v>0</v>
      </c>
      <c r="M57" s="212">
        <f>+VLOOKUP($E57,[1]tb!$B$12:$AC$193,18,0)</f>
        <v>0</v>
      </c>
      <c r="N57" s="212">
        <f>+VLOOKUP($E57,[1]tb!$B$12:$AC$193,20,0)</f>
        <v>0</v>
      </c>
      <c r="O57" s="212">
        <f>+VLOOKUP($E57,[1]tb!$B$12:$AC$193,22,0)</f>
        <v>0</v>
      </c>
      <c r="P57" s="212">
        <f>+VLOOKUP($E57,[1]tb!$B$12:$AC$193,24,0)</f>
        <v>0</v>
      </c>
      <c r="Q57" s="212">
        <f>+VLOOKUP($E57,[1]tb!$B$12:$AC$193,26,0)</f>
        <v>0</v>
      </c>
      <c r="R57" s="212">
        <f t="shared" si="8"/>
        <v>0</v>
      </c>
    </row>
    <row r="58" spans="2:18">
      <c r="D58" s="204" t="s">
        <v>258</v>
      </c>
      <c r="E58" s="206" t="s">
        <v>36</v>
      </c>
      <c r="F58" s="186">
        <f>+VLOOKUP($E58,[1]tb!$B$12:$AC$193,4,0)</f>
        <v>8564966.2699999996</v>
      </c>
      <c r="G58" s="186">
        <f>+VLOOKUP($E58,[1]tb!$B$12:$AC$193,6,0)</f>
        <v>8564966.2699999996</v>
      </c>
      <c r="H58" s="186">
        <f>+VLOOKUP($E58,[1]tb!$B$12:$AC$193,8,0)</f>
        <v>8564966.2699999996</v>
      </c>
      <c r="I58" s="186">
        <f>+VLOOKUP($E58,[1]tb!$B$12:$AC$193,10,0)</f>
        <v>8564966.2699999996</v>
      </c>
      <c r="J58" s="186">
        <f>+VLOOKUP($E58,[1]tb!$B$12:$AC$193,12,0)</f>
        <v>8564966.2699999996</v>
      </c>
      <c r="K58" s="186">
        <f>+VLOOKUP($E58,[1]tb!$B$12:$AC$193,14,0)</f>
        <v>8564966.2699999996</v>
      </c>
      <c r="L58" s="186">
        <f>+VLOOKUP($E58,[1]tb!$B$12:$AC$193,16,0)</f>
        <v>8564966.2699999996</v>
      </c>
      <c r="M58" s="186">
        <f>+VLOOKUP($E58,[1]tb!$B$12:$AC$193,18,0)</f>
        <v>8564966.2699999996</v>
      </c>
      <c r="N58" s="186">
        <f>+VLOOKUP($E58,[1]tb!$B$12:$AC$193,20,0)</f>
        <v>8564966.2699999996</v>
      </c>
      <c r="O58" s="186">
        <f>+VLOOKUP($E58,[1]tb!$B$12:$AC$193,22,0)</f>
        <v>8564966.2699999996</v>
      </c>
      <c r="P58" s="186">
        <f>+VLOOKUP($E58,[1]tb!$B$12:$AC$193,24,0)</f>
        <v>8564966.2699999996</v>
      </c>
      <c r="Q58" s="186">
        <f>+VLOOKUP($E58,[1]tb!$B$12:$AC$193,26,0)</f>
        <v>8564966.2699999996</v>
      </c>
      <c r="R58" s="186">
        <f t="shared" si="8"/>
        <v>8564966.2699999996</v>
      </c>
    </row>
    <row r="59" spans="2:18">
      <c r="D59" s="204" t="s">
        <v>259</v>
      </c>
      <c r="E59" s="206" t="s">
        <v>37</v>
      </c>
      <c r="F59" s="186">
        <f>+VLOOKUP($E59,[1]tb!$B$12:$AC$193,5,0)</f>
        <v>1875639.8599999999</v>
      </c>
      <c r="G59" s="186">
        <f>+VLOOKUP($E59,[1]tb!$B$12:$AC$193,7,0)</f>
        <v>1895952.2699999998</v>
      </c>
      <c r="H59" s="186">
        <f>+VLOOKUP($E59,[1]tb!$B$12:$AC$193,9,0)</f>
        <v>1916264.6899999997</v>
      </c>
      <c r="I59" s="186">
        <f>+VLOOKUP($E59,[1]tb!$B$12:$AC$193,11,0)</f>
        <v>1916264.6899999997</v>
      </c>
      <c r="J59" s="186">
        <f>+VLOOKUP($E59,[1]tb!$B$12:$AC$193,13,0)</f>
        <v>1916264.6899999997</v>
      </c>
      <c r="K59" s="186">
        <f>+VLOOKUP($E59,[1]tb!$B$12:$AC$193,15,0)</f>
        <v>1916264.6899999997</v>
      </c>
      <c r="L59" s="186">
        <f>+VLOOKUP($E59,[1]tb!$B$12:$AC$193,17,0)</f>
        <v>1916264.6899999997</v>
      </c>
      <c r="M59" s="186">
        <f>+VLOOKUP($E59,[1]tb!$B$12:$AC$193,19,0)</f>
        <v>1916264.6899999997</v>
      </c>
      <c r="N59" s="186">
        <f>+VLOOKUP($E59,[1]tb!$B$12:$AC$193,21,0)</f>
        <v>1916264.6899999997</v>
      </c>
      <c r="O59" s="186">
        <f>+VLOOKUP($E59,[1]tb!$B$12:$AC$193,23,0)</f>
        <v>1916264.6899999997</v>
      </c>
      <c r="P59" s="186">
        <f>+VLOOKUP($E59,[1]tb!$B$12:$AC$193,25,0)</f>
        <v>1916264.6899999997</v>
      </c>
      <c r="Q59" s="186">
        <f>+VLOOKUP($E59,[1]tb!$B$12:$AC$193,27,0)</f>
        <v>1916264.6899999997</v>
      </c>
      <c r="R59" s="186">
        <f t="shared" si="8"/>
        <v>1916264.6899999997</v>
      </c>
    </row>
    <row r="60" spans="2:18">
      <c r="D60" s="204" t="s">
        <v>536</v>
      </c>
      <c r="F60" s="212">
        <f>+F58-F59</f>
        <v>6689326.4100000001</v>
      </c>
      <c r="G60" s="212">
        <f>+G58-G59</f>
        <v>6669014</v>
      </c>
      <c r="H60" s="212">
        <f t="shared" ref="H60:Q60" si="10">+H58-H59</f>
        <v>6648701.5800000001</v>
      </c>
      <c r="I60" s="212">
        <f t="shared" si="10"/>
        <v>6648701.5800000001</v>
      </c>
      <c r="J60" s="212">
        <f t="shared" si="10"/>
        <v>6648701.5800000001</v>
      </c>
      <c r="K60" s="212">
        <f t="shared" si="10"/>
        <v>6648701.5800000001</v>
      </c>
      <c r="L60" s="212">
        <f t="shared" si="10"/>
        <v>6648701.5800000001</v>
      </c>
      <c r="M60" s="212">
        <f t="shared" si="10"/>
        <v>6648701.5800000001</v>
      </c>
      <c r="N60" s="212">
        <f t="shared" si="10"/>
        <v>6648701.5800000001</v>
      </c>
      <c r="O60" s="212">
        <f t="shared" si="10"/>
        <v>6648701.5800000001</v>
      </c>
      <c r="P60" s="212">
        <f t="shared" si="10"/>
        <v>6648701.5800000001</v>
      </c>
      <c r="Q60" s="212">
        <f t="shared" si="10"/>
        <v>6648701.5800000001</v>
      </c>
      <c r="R60" s="212">
        <f t="shared" si="8"/>
        <v>6648701.5800000001</v>
      </c>
    </row>
    <row r="61" spans="2:18" hidden="1">
      <c r="D61" s="204" t="s">
        <v>260</v>
      </c>
      <c r="E61" s="206" t="s">
        <v>38</v>
      </c>
      <c r="F61" s="186">
        <f>+VLOOKUP($E61,[1]tb!$B$12:$AC$193,4,0)</f>
        <v>0</v>
      </c>
      <c r="G61" s="186">
        <f>+VLOOKUP($E61,[1]tb!$B$12:$AC$193,6,0)</f>
        <v>0</v>
      </c>
      <c r="H61" s="186">
        <f>+VLOOKUP($E61,[1]tb!$B$12:$AC$193,8,0)</f>
        <v>0</v>
      </c>
      <c r="I61" s="186">
        <f>+VLOOKUP($E61,[1]tb!$B$12:$AC$193,10,0)</f>
        <v>0</v>
      </c>
      <c r="J61" s="186">
        <f>+VLOOKUP($E61,[1]tb!$B$12:$AC$193,12,0)</f>
        <v>0</v>
      </c>
      <c r="K61" s="186">
        <f>+VLOOKUP($E61,[1]tb!$B$12:$AC$193,14,0)</f>
        <v>0</v>
      </c>
      <c r="L61" s="186">
        <f>+VLOOKUP($E61,[1]tb!$B$12:$AC$193,16,0)</f>
        <v>0</v>
      </c>
      <c r="M61" s="186">
        <f>+VLOOKUP($E61,[1]tb!$B$12:$AC$193,18,0)</f>
        <v>0</v>
      </c>
      <c r="N61" s="186">
        <f>+VLOOKUP($E61,[1]tb!$B$12:$AC$193,20,0)</f>
        <v>0</v>
      </c>
      <c r="O61" s="186">
        <f>+VLOOKUP($E61,[1]tb!$B$12:$AC$193,22,0)</f>
        <v>0</v>
      </c>
      <c r="P61" s="186">
        <f>+VLOOKUP($E61,[1]tb!$B$12:$AC$193,24,0)</f>
        <v>0</v>
      </c>
      <c r="Q61" s="186">
        <f>+VLOOKUP($E61,[1]tb!$B$12:$AC$193,26,0)</f>
        <v>0</v>
      </c>
      <c r="R61" s="186">
        <f t="shared" si="8"/>
        <v>0</v>
      </c>
    </row>
    <row r="62" spans="2:18" hidden="1">
      <c r="D62" s="204" t="s">
        <v>261</v>
      </c>
      <c r="E62" s="206" t="s">
        <v>39</v>
      </c>
      <c r="F62" s="186">
        <f>+VLOOKUP($E62,[1]tb!$B$12:$AC$193,5,0)</f>
        <v>0</v>
      </c>
      <c r="G62" s="186">
        <f>+VLOOKUP($E62,[1]tb!$B$12:$AC$193,7,0)</f>
        <v>0</v>
      </c>
      <c r="H62" s="186">
        <f>+VLOOKUP($E62,[1]tb!$B$12:$AC$193,9,0)</f>
        <v>0</v>
      </c>
      <c r="I62" s="186">
        <f>+VLOOKUP($E62,[1]tb!$B$12:$AC$193,11,0)</f>
        <v>0</v>
      </c>
      <c r="J62" s="186">
        <f>+VLOOKUP($E62,[1]tb!$B$12:$AC$193,13,0)</f>
        <v>0</v>
      </c>
      <c r="K62" s="186">
        <f>+VLOOKUP($E62,[1]tb!$B$12:$AC$193,15,0)</f>
        <v>0</v>
      </c>
      <c r="L62" s="186">
        <f>+VLOOKUP($E62,[1]tb!$B$12:$AC$193,17,0)</f>
        <v>0</v>
      </c>
      <c r="M62" s="186">
        <f>+VLOOKUP($E62,[1]tb!$B$12:$AC$193,19,0)</f>
        <v>0</v>
      </c>
      <c r="N62" s="186">
        <f>+VLOOKUP($E62,[1]tb!$B$12:$AC$193,21,0)</f>
        <v>0</v>
      </c>
      <c r="O62" s="186">
        <f>+VLOOKUP($E62,[1]tb!$B$12:$AC$193,23,0)</f>
        <v>0</v>
      </c>
      <c r="P62" s="186">
        <f>+VLOOKUP($E62,[1]tb!$B$12:$AC$193,25,0)</f>
        <v>0</v>
      </c>
      <c r="Q62" s="186">
        <f>+VLOOKUP($E62,[1]tb!$B$12:$AC$193,27,0)</f>
        <v>0</v>
      </c>
      <c r="R62" s="186">
        <f t="shared" si="8"/>
        <v>0</v>
      </c>
    </row>
    <row r="63" spans="2:18" hidden="1">
      <c r="D63" s="204" t="s">
        <v>536</v>
      </c>
      <c r="F63" s="212">
        <f>+F61-F62</f>
        <v>0</v>
      </c>
      <c r="G63" s="212">
        <f>+G61-G62</f>
        <v>0</v>
      </c>
      <c r="H63" s="212">
        <f t="shared" ref="H63:Q63" si="11">+H61-H62</f>
        <v>0</v>
      </c>
      <c r="I63" s="212">
        <f t="shared" si="11"/>
        <v>0</v>
      </c>
      <c r="J63" s="212">
        <f t="shared" si="11"/>
        <v>0</v>
      </c>
      <c r="K63" s="212">
        <f t="shared" si="11"/>
        <v>0</v>
      </c>
      <c r="L63" s="212">
        <f t="shared" si="11"/>
        <v>0</v>
      </c>
      <c r="M63" s="212">
        <f t="shared" si="11"/>
        <v>0</v>
      </c>
      <c r="N63" s="212">
        <f t="shared" si="11"/>
        <v>0</v>
      </c>
      <c r="O63" s="212">
        <f t="shared" si="11"/>
        <v>0</v>
      </c>
      <c r="P63" s="212">
        <f t="shared" si="11"/>
        <v>0</v>
      </c>
      <c r="Q63" s="212">
        <f t="shared" si="11"/>
        <v>0</v>
      </c>
      <c r="R63" s="212">
        <f t="shared" si="8"/>
        <v>0</v>
      </c>
    </row>
    <row r="64" spans="2:18" hidden="1">
      <c r="D64" s="204" t="s">
        <v>262</v>
      </c>
      <c r="E64" s="206" t="s">
        <v>40</v>
      </c>
      <c r="F64" s="186">
        <f>+VLOOKUP($E64,[1]tb!$B$12:$AC$193,4,0)</f>
        <v>0</v>
      </c>
      <c r="G64" s="186">
        <f>+VLOOKUP($E64,[1]tb!$B$12:$AC$193,6,0)</f>
        <v>0</v>
      </c>
      <c r="H64" s="186">
        <f>+VLOOKUP($E64,[1]tb!$B$12:$AC$193,8,0)</f>
        <v>0</v>
      </c>
      <c r="I64" s="186">
        <f>+VLOOKUP($E64,[1]tb!$B$12:$AC$193,10,0)</f>
        <v>0</v>
      </c>
      <c r="J64" s="186">
        <f>+VLOOKUP($E64,[1]tb!$B$12:$AC$193,12,0)</f>
        <v>0</v>
      </c>
      <c r="K64" s="186">
        <f>+VLOOKUP($E64,[1]tb!$B$12:$AC$193,14,0)</f>
        <v>0</v>
      </c>
      <c r="L64" s="186">
        <f>+VLOOKUP($E64,[1]tb!$B$12:$AC$193,16,0)</f>
        <v>0</v>
      </c>
      <c r="M64" s="186">
        <f>+VLOOKUP($E64,[1]tb!$B$12:$AC$193,18,0)</f>
        <v>0</v>
      </c>
      <c r="N64" s="186">
        <f>+VLOOKUP($E64,[1]tb!$B$12:$AC$193,20,0)</f>
        <v>0</v>
      </c>
      <c r="O64" s="186">
        <f>+VLOOKUP($E64,[1]tb!$B$12:$AC$193,22,0)</f>
        <v>0</v>
      </c>
      <c r="P64" s="186">
        <f>+VLOOKUP($E64,[1]tb!$B$12:$AC$193,24,0)</f>
        <v>0</v>
      </c>
      <c r="Q64" s="186">
        <f>+VLOOKUP($E64,[1]tb!$B$12:$AC$193,26,0)</f>
        <v>0</v>
      </c>
      <c r="R64" s="186">
        <f t="shared" si="8"/>
        <v>0</v>
      </c>
    </row>
    <row r="65" spans="4:18" hidden="1">
      <c r="D65" s="204" t="s">
        <v>263</v>
      </c>
      <c r="E65" s="206" t="s">
        <v>41</v>
      </c>
      <c r="F65" s="186">
        <f>+VLOOKUP($E65,[1]tb!$B$12:$AC$193,5,0)</f>
        <v>0</v>
      </c>
      <c r="G65" s="186">
        <f>+VLOOKUP($E65,[1]tb!$B$12:$AC$193,7,0)</f>
        <v>0</v>
      </c>
      <c r="H65" s="186">
        <f>+VLOOKUP($E65,[1]tb!$B$12:$AC$193,9,0)</f>
        <v>0</v>
      </c>
      <c r="I65" s="186">
        <f>+VLOOKUP($E65,[1]tb!$B$12:$AC$193,11,0)</f>
        <v>0</v>
      </c>
      <c r="J65" s="186">
        <f>+VLOOKUP($E65,[1]tb!$B$12:$AC$193,13,0)</f>
        <v>0</v>
      </c>
      <c r="K65" s="186">
        <f>+VLOOKUP($E65,[1]tb!$B$12:$AC$193,15,0)</f>
        <v>0</v>
      </c>
      <c r="L65" s="186">
        <f>+VLOOKUP($E65,[1]tb!$B$12:$AC$193,17,0)</f>
        <v>0</v>
      </c>
      <c r="M65" s="186">
        <f>+VLOOKUP($E65,[1]tb!$B$12:$AC$193,19,0)</f>
        <v>0</v>
      </c>
      <c r="N65" s="186">
        <f>+VLOOKUP($E65,[1]tb!$B$12:$AC$193,21,0)</f>
        <v>0</v>
      </c>
      <c r="O65" s="186">
        <f>+VLOOKUP($E65,[1]tb!$B$12:$AC$193,23,0)</f>
        <v>0</v>
      </c>
      <c r="P65" s="186">
        <f>+VLOOKUP($E65,[1]tb!$B$12:$AC$193,25,0)</f>
        <v>0</v>
      </c>
      <c r="Q65" s="186">
        <f>+VLOOKUP($E65,[1]tb!$B$12:$AC$193,27,0)</f>
        <v>0</v>
      </c>
      <c r="R65" s="186">
        <f t="shared" si="8"/>
        <v>0</v>
      </c>
    </row>
    <row r="66" spans="4:18" hidden="1">
      <c r="D66" s="204" t="s">
        <v>536</v>
      </c>
      <c r="F66" s="212">
        <f>+F64-F65</f>
        <v>0</v>
      </c>
      <c r="G66" s="212">
        <f>+G64-G65</f>
        <v>0</v>
      </c>
      <c r="H66" s="212">
        <f t="shared" ref="H66:Q66" si="12">+H64-H65</f>
        <v>0</v>
      </c>
      <c r="I66" s="212">
        <f t="shared" si="12"/>
        <v>0</v>
      </c>
      <c r="J66" s="212">
        <f t="shared" si="12"/>
        <v>0</v>
      </c>
      <c r="K66" s="212">
        <f t="shared" si="12"/>
        <v>0</v>
      </c>
      <c r="L66" s="212">
        <f t="shared" si="12"/>
        <v>0</v>
      </c>
      <c r="M66" s="212">
        <f t="shared" si="12"/>
        <v>0</v>
      </c>
      <c r="N66" s="212">
        <f t="shared" si="12"/>
        <v>0</v>
      </c>
      <c r="O66" s="212">
        <f t="shared" si="12"/>
        <v>0</v>
      </c>
      <c r="P66" s="212">
        <f t="shared" si="12"/>
        <v>0</v>
      </c>
      <c r="Q66" s="212">
        <f t="shared" si="12"/>
        <v>0</v>
      </c>
      <c r="R66" s="212">
        <f t="shared" si="8"/>
        <v>0</v>
      </c>
    </row>
    <row r="67" spans="4:18">
      <c r="D67" s="204" t="s">
        <v>264</v>
      </c>
      <c r="E67" s="206" t="s">
        <v>42</v>
      </c>
      <c r="F67" s="186">
        <f>+VLOOKUP($E67,[1]tb!$B$12:$AC$193,4,0)</f>
        <v>1267376</v>
      </c>
      <c r="G67" s="186">
        <f>+VLOOKUP($E67,[1]tb!$B$12:$AC$193,6,0)</f>
        <v>1267376</v>
      </c>
      <c r="H67" s="186">
        <f>+VLOOKUP($E67,[1]tb!$B$12:$AC$193,8,0)</f>
        <v>1267376</v>
      </c>
      <c r="I67" s="186">
        <f>+VLOOKUP($E67,[1]tb!$B$12:$AC$193,10,0)</f>
        <v>1267376</v>
      </c>
      <c r="J67" s="186">
        <f>+VLOOKUP($E67,[1]tb!$B$12:$AC$193,12,0)</f>
        <v>1267376</v>
      </c>
      <c r="K67" s="186">
        <f>+VLOOKUP($E67,[1]tb!$B$12:$AC$193,14,0)</f>
        <v>1267376</v>
      </c>
      <c r="L67" s="186">
        <f>+VLOOKUP($E67,[1]tb!$B$12:$AC$193,16,0)</f>
        <v>1267376</v>
      </c>
      <c r="M67" s="186">
        <f>+VLOOKUP($E67,[1]tb!$B$12:$AC$193,18,0)</f>
        <v>1267376</v>
      </c>
      <c r="N67" s="186">
        <f>+VLOOKUP($E67,[1]tb!$B$12:$AC$193,20,0)</f>
        <v>1267376</v>
      </c>
      <c r="O67" s="186">
        <f>+VLOOKUP($E67,[1]tb!$B$12:$AC$193,22,0)</f>
        <v>1267376</v>
      </c>
      <c r="P67" s="186">
        <f>+VLOOKUP($E67,[1]tb!$B$12:$AC$193,24,0)</f>
        <v>1267376</v>
      </c>
      <c r="Q67" s="186">
        <f>+VLOOKUP($E67,[1]tb!$B$12:$AC$193,26,0)</f>
        <v>1267376</v>
      </c>
      <c r="R67" s="186">
        <f t="shared" si="8"/>
        <v>1267376</v>
      </c>
    </row>
    <row r="68" spans="4:18">
      <c r="D68" s="204" t="s">
        <v>265</v>
      </c>
      <c r="E68" s="206" t="s">
        <v>43</v>
      </c>
      <c r="F68" s="186">
        <f>+VLOOKUP($E68,[1]tb!$B$12:$AC$193,5,0)</f>
        <v>948903.30999999994</v>
      </c>
      <c r="G68" s="186">
        <f>+VLOOKUP($E68,[1]tb!$B$12:$AC$193,7,0)</f>
        <v>954828.37999999989</v>
      </c>
      <c r="H68" s="186">
        <f>+VLOOKUP($E68,[1]tb!$B$12:$AC$193,9,0)</f>
        <v>960753.45999999985</v>
      </c>
      <c r="I68" s="186">
        <f>+VLOOKUP($E68,[1]tb!$B$12:$AC$193,11,0)</f>
        <v>960753.45999999985</v>
      </c>
      <c r="J68" s="186">
        <f>+VLOOKUP($E68,[1]tb!$B$12:$AC$193,13,0)</f>
        <v>960753.45999999985</v>
      </c>
      <c r="K68" s="186">
        <f>+VLOOKUP($E68,[1]tb!$B$12:$AC$193,15,0)</f>
        <v>960753.45999999985</v>
      </c>
      <c r="L68" s="186">
        <f>+VLOOKUP($E68,[1]tb!$B$12:$AC$193,17,0)</f>
        <v>960753.45999999985</v>
      </c>
      <c r="M68" s="186">
        <f>+VLOOKUP($E68,[1]tb!$B$12:$AC$193,19,0)</f>
        <v>960753.45999999985</v>
      </c>
      <c r="N68" s="186">
        <f>+VLOOKUP($E68,[1]tb!$B$12:$AC$193,21,0)</f>
        <v>960753.45999999985</v>
      </c>
      <c r="O68" s="186">
        <f>+VLOOKUP($E68,[1]tb!$B$12:$AC$193,23,0)</f>
        <v>960753.45999999985</v>
      </c>
      <c r="P68" s="186">
        <f>+VLOOKUP($E68,[1]tb!$B$12:$AC$193,25,0)</f>
        <v>960753.45999999985</v>
      </c>
      <c r="Q68" s="186">
        <f>+VLOOKUP($E68,[1]tb!$B$12:$AC$193,27,0)</f>
        <v>960753.45999999985</v>
      </c>
      <c r="R68" s="186">
        <f t="shared" si="8"/>
        <v>960753.45999999985</v>
      </c>
    </row>
    <row r="69" spans="4:18">
      <c r="D69" s="204" t="s">
        <v>536</v>
      </c>
      <c r="F69" s="212">
        <f>+F67-F68</f>
        <v>318472.69000000006</v>
      </c>
      <c r="G69" s="212">
        <f>+G67-G68</f>
        <v>312547.62000000011</v>
      </c>
      <c r="H69" s="212">
        <f t="shared" ref="H69:Q69" si="13">+H67-H68</f>
        <v>306622.54000000015</v>
      </c>
      <c r="I69" s="212">
        <f t="shared" si="13"/>
        <v>306622.54000000015</v>
      </c>
      <c r="J69" s="212">
        <f t="shared" si="13"/>
        <v>306622.54000000015</v>
      </c>
      <c r="K69" s="212">
        <f t="shared" si="13"/>
        <v>306622.54000000015</v>
      </c>
      <c r="L69" s="212">
        <f t="shared" si="13"/>
        <v>306622.54000000015</v>
      </c>
      <c r="M69" s="212">
        <f t="shared" si="13"/>
        <v>306622.54000000015</v>
      </c>
      <c r="N69" s="212">
        <f t="shared" si="13"/>
        <v>306622.54000000015</v>
      </c>
      <c r="O69" s="212">
        <f t="shared" si="13"/>
        <v>306622.54000000015</v>
      </c>
      <c r="P69" s="212">
        <f t="shared" si="13"/>
        <v>306622.54000000015</v>
      </c>
      <c r="Q69" s="212">
        <f t="shared" si="13"/>
        <v>306622.54000000015</v>
      </c>
      <c r="R69" s="212">
        <f t="shared" si="8"/>
        <v>306622.54000000015</v>
      </c>
    </row>
    <row r="70" spans="4:18">
      <c r="D70" s="204" t="s">
        <v>266</v>
      </c>
      <c r="E70" s="206" t="s">
        <v>44</v>
      </c>
      <c r="F70" s="186">
        <f>+VLOOKUP($E70,[1]tb!$B$12:$AC$193,4,0)</f>
        <v>5320523.72</v>
      </c>
      <c r="G70" s="186">
        <f>+VLOOKUP($E70,[1]tb!$B$12:$AC$193,6,0)</f>
        <v>5320523.72</v>
      </c>
      <c r="H70" s="186">
        <f>+VLOOKUP($E70,[1]tb!$B$12:$AC$193,8,0)</f>
        <v>5320523.72</v>
      </c>
      <c r="I70" s="186">
        <f>+VLOOKUP($E70,[1]tb!$B$12:$AC$193,10,0)</f>
        <v>5320523.72</v>
      </c>
      <c r="J70" s="186">
        <f>+VLOOKUP($E70,[1]tb!$B$12:$AC$193,12,0)</f>
        <v>5320523.72</v>
      </c>
      <c r="K70" s="186">
        <f>+VLOOKUP($E70,[1]tb!$B$12:$AC$193,14,0)</f>
        <v>5320523.72</v>
      </c>
      <c r="L70" s="186">
        <f>+VLOOKUP($E70,[1]tb!$B$12:$AC$193,16,0)</f>
        <v>5320523.72</v>
      </c>
      <c r="M70" s="186">
        <f>+VLOOKUP($E70,[1]tb!$B$12:$AC$193,18,0)</f>
        <v>5320523.72</v>
      </c>
      <c r="N70" s="186">
        <f>+VLOOKUP($E70,[1]tb!$B$12:$AC$193,20,0)</f>
        <v>5320523.72</v>
      </c>
      <c r="O70" s="186">
        <f>+VLOOKUP($E70,[1]tb!$B$12:$AC$193,22,0)</f>
        <v>5320523.72</v>
      </c>
      <c r="P70" s="186">
        <f>+VLOOKUP($E70,[1]tb!$B$12:$AC$193,24,0)</f>
        <v>5320523.72</v>
      </c>
      <c r="Q70" s="186">
        <f>+VLOOKUP($E70,[1]tb!$B$12:$AC$193,26,0)</f>
        <v>5320523.72</v>
      </c>
      <c r="R70" s="186">
        <f t="shared" si="8"/>
        <v>5320523.72</v>
      </c>
    </row>
    <row r="71" spans="4:18">
      <c r="D71" s="204" t="s">
        <v>267</v>
      </c>
      <c r="E71" s="206" t="s">
        <v>45</v>
      </c>
      <c r="F71" s="186">
        <f>+VLOOKUP($E71,[1]tb!$B$12:$AC$193,5,0)</f>
        <v>4100202.84</v>
      </c>
      <c r="G71" s="186">
        <f>+VLOOKUP($E71,[1]tb!$B$12:$AC$193,7,0)</f>
        <v>4124453.86</v>
      </c>
      <c r="H71" s="186">
        <f>+VLOOKUP($E71,[1]tb!$B$12:$AC$193,9,0)</f>
        <v>4148705.3</v>
      </c>
      <c r="I71" s="186">
        <f>+VLOOKUP($E71,[1]tb!$B$12:$AC$193,11,0)</f>
        <v>4148705.3</v>
      </c>
      <c r="J71" s="186">
        <f>+VLOOKUP($E71,[1]tb!$B$12:$AC$193,13,0)</f>
        <v>4148705.3</v>
      </c>
      <c r="K71" s="186">
        <f>+VLOOKUP($E71,[1]tb!$B$12:$AC$193,15,0)</f>
        <v>4148705.3</v>
      </c>
      <c r="L71" s="186">
        <f>+VLOOKUP($E71,[1]tb!$B$12:$AC$193,17,0)</f>
        <v>4148705.3</v>
      </c>
      <c r="M71" s="186">
        <f>+VLOOKUP($E71,[1]tb!$B$12:$AC$193,19,0)</f>
        <v>4148705.3</v>
      </c>
      <c r="N71" s="186">
        <f>+VLOOKUP($E71,[1]tb!$B$12:$AC$193,21,0)</f>
        <v>4148705.3</v>
      </c>
      <c r="O71" s="186">
        <f>+VLOOKUP($E71,[1]tb!$B$12:$AC$193,23,0)</f>
        <v>4148705.3</v>
      </c>
      <c r="P71" s="186">
        <f>+VLOOKUP($E71,[1]tb!$B$12:$AC$193,25,0)</f>
        <v>4148705.3</v>
      </c>
      <c r="Q71" s="186">
        <f>+VLOOKUP($E71,[1]tb!$B$12:$AC$193,27,0)</f>
        <v>4148705.3</v>
      </c>
      <c r="R71" s="186">
        <f t="shared" si="8"/>
        <v>4148705.3</v>
      </c>
    </row>
    <row r="72" spans="4:18">
      <c r="D72" s="204" t="s">
        <v>536</v>
      </c>
      <c r="F72" s="212">
        <f>+F70-F71</f>
        <v>1220320.8799999999</v>
      </c>
      <c r="G72" s="212">
        <f>+G70-G71</f>
        <v>1196069.8599999999</v>
      </c>
      <c r="H72" s="212">
        <f t="shared" ref="H72:Q72" si="14">+H70-H71</f>
        <v>1171818.42</v>
      </c>
      <c r="I72" s="212">
        <f t="shared" si="14"/>
        <v>1171818.42</v>
      </c>
      <c r="J72" s="212">
        <f t="shared" si="14"/>
        <v>1171818.42</v>
      </c>
      <c r="K72" s="212">
        <f t="shared" si="14"/>
        <v>1171818.42</v>
      </c>
      <c r="L72" s="212">
        <f t="shared" si="14"/>
        <v>1171818.42</v>
      </c>
      <c r="M72" s="212">
        <f t="shared" si="14"/>
        <v>1171818.42</v>
      </c>
      <c r="N72" s="212">
        <f t="shared" si="14"/>
        <v>1171818.42</v>
      </c>
      <c r="O72" s="212">
        <f t="shared" si="14"/>
        <v>1171818.42</v>
      </c>
      <c r="P72" s="212">
        <f t="shared" si="14"/>
        <v>1171818.42</v>
      </c>
      <c r="Q72" s="212">
        <f t="shared" si="14"/>
        <v>1171818.42</v>
      </c>
      <c r="R72" s="212">
        <f t="shared" si="8"/>
        <v>1171818.42</v>
      </c>
    </row>
    <row r="73" spans="4:18">
      <c r="D73" s="204" t="s">
        <v>268</v>
      </c>
      <c r="E73" s="206" t="s">
        <v>46</v>
      </c>
      <c r="F73" s="186">
        <f>+VLOOKUP($E73,[1]tb!$B$12:$AC$193,4,0)</f>
        <v>58765</v>
      </c>
      <c r="G73" s="186">
        <f>+VLOOKUP($E73,[1]tb!$B$12:$AC$193,6,0)</f>
        <v>58765</v>
      </c>
      <c r="H73" s="186">
        <f>+VLOOKUP($E73,[1]tb!$B$12:$AC$193,8,0)</f>
        <v>58765</v>
      </c>
      <c r="I73" s="186">
        <f>+VLOOKUP($E73,[1]tb!$B$12:$AC$193,10,0)</f>
        <v>58765</v>
      </c>
      <c r="J73" s="186">
        <f>+VLOOKUP($E73,[1]tb!$B$12:$AC$193,12,0)</f>
        <v>58765</v>
      </c>
      <c r="K73" s="186">
        <f>+VLOOKUP($E73,[1]tb!$B$12:$AC$193,14,0)</f>
        <v>58765</v>
      </c>
      <c r="L73" s="186">
        <f>+VLOOKUP($E73,[1]tb!$B$12:$AC$193,16,0)</f>
        <v>58765</v>
      </c>
      <c r="M73" s="186">
        <f>+VLOOKUP($E73,[1]tb!$B$12:$AC$193,18,0)</f>
        <v>58765</v>
      </c>
      <c r="N73" s="186">
        <f>+VLOOKUP($E73,[1]tb!$B$12:$AC$193,20,0)</f>
        <v>58765</v>
      </c>
      <c r="O73" s="186">
        <f>+VLOOKUP($E73,[1]tb!$B$12:$AC$193,22,0)</f>
        <v>58765</v>
      </c>
      <c r="P73" s="186">
        <f>+VLOOKUP($E73,[1]tb!$B$12:$AC$193,24,0)</f>
        <v>58765</v>
      </c>
      <c r="Q73" s="186">
        <f>+VLOOKUP($E73,[1]tb!$B$12:$AC$193,26,0)</f>
        <v>58765</v>
      </c>
      <c r="R73" s="186">
        <f t="shared" si="8"/>
        <v>58765</v>
      </c>
    </row>
    <row r="74" spans="4:18">
      <c r="D74" s="204" t="s">
        <v>269</v>
      </c>
      <c r="E74" s="206" t="s">
        <v>47</v>
      </c>
      <c r="F74" s="186">
        <f>+VLOOKUP($E74,[1]tb!$B$12:$AC$193,5,0)</f>
        <v>38305.71</v>
      </c>
      <c r="G74" s="186">
        <f>+VLOOKUP($E74,[1]tb!$B$12:$AC$193,7,0)</f>
        <v>38528.94</v>
      </c>
      <c r="H74" s="186">
        <f>+VLOOKUP($E74,[1]tb!$B$12:$AC$193,9,0)</f>
        <v>38752.18</v>
      </c>
      <c r="I74" s="186">
        <f>+VLOOKUP($E74,[1]tb!$B$12:$AC$193,11,0)</f>
        <v>38752.18</v>
      </c>
      <c r="J74" s="186">
        <f>+VLOOKUP($E74,[1]tb!$B$12:$AC$193,13,0)</f>
        <v>38752.18</v>
      </c>
      <c r="K74" s="186">
        <f>+VLOOKUP($E74,[1]tb!$B$12:$AC$193,15,0)</f>
        <v>38752.18</v>
      </c>
      <c r="L74" s="186">
        <f>+VLOOKUP($E74,[1]tb!$B$12:$AC$193,17,0)</f>
        <v>38752.18</v>
      </c>
      <c r="M74" s="186">
        <f>+VLOOKUP($E74,[1]tb!$B$12:$AC$193,19,0)</f>
        <v>38752.18</v>
      </c>
      <c r="N74" s="186">
        <f>+VLOOKUP($E74,[1]tb!$B$12:$AC$193,21,0)</f>
        <v>38752.18</v>
      </c>
      <c r="O74" s="186">
        <f>+VLOOKUP($E74,[1]tb!$B$12:$AC$193,23,0)</f>
        <v>38752.18</v>
      </c>
      <c r="P74" s="186">
        <f>+VLOOKUP($E74,[1]tb!$B$12:$AC$193,25,0)</f>
        <v>38752.18</v>
      </c>
      <c r="Q74" s="186">
        <f>+VLOOKUP($E74,[1]tb!$B$12:$AC$193,27,0)</f>
        <v>38752.18</v>
      </c>
      <c r="R74" s="186">
        <f t="shared" si="8"/>
        <v>38752.18</v>
      </c>
    </row>
    <row r="75" spans="4:18">
      <c r="D75" s="204" t="s">
        <v>536</v>
      </c>
      <c r="F75" s="212">
        <f>+F73-F74</f>
        <v>20459.29</v>
      </c>
      <c r="G75" s="212">
        <f>+G73-G74</f>
        <v>20236.059999999998</v>
      </c>
      <c r="H75" s="212">
        <f t="shared" ref="H75:Q75" si="15">+H73-H74</f>
        <v>20012.82</v>
      </c>
      <c r="I75" s="212">
        <f t="shared" si="15"/>
        <v>20012.82</v>
      </c>
      <c r="J75" s="212">
        <f t="shared" si="15"/>
        <v>20012.82</v>
      </c>
      <c r="K75" s="212">
        <f t="shared" si="15"/>
        <v>20012.82</v>
      </c>
      <c r="L75" s="212">
        <f t="shared" si="15"/>
        <v>20012.82</v>
      </c>
      <c r="M75" s="212">
        <f t="shared" si="15"/>
        <v>20012.82</v>
      </c>
      <c r="N75" s="212">
        <f t="shared" si="15"/>
        <v>20012.82</v>
      </c>
      <c r="O75" s="212">
        <f t="shared" si="15"/>
        <v>20012.82</v>
      </c>
      <c r="P75" s="212">
        <f t="shared" si="15"/>
        <v>20012.82</v>
      </c>
      <c r="Q75" s="212">
        <f t="shared" si="15"/>
        <v>20012.82</v>
      </c>
      <c r="R75" s="212">
        <f t="shared" si="8"/>
        <v>20012.82</v>
      </c>
    </row>
    <row r="76" spans="4:18">
      <c r="D76" s="204" t="s">
        <v>280</v>
      </c>
      <c r="E76" s="206" t="s">
        <v>58</v>
      </c>
      <c r="F76" s="186">
        <f>+VLOOKUP($E76,[1]tb!$B$12:$AC$193,4,0)</f>
        <v>14083970.4</v>
      </c>
      <c r="G76" s="186">
        <f>+VLOOKUP($E76,[1]tb!$B$12:$AC$193,6,0)</f>
        <v>14083970.4</v>
      </c>
      <c r="H76" s="186">
        <f>+VLOOKUP($E76,[1]tb!$B$12:$AC$193,8,0)</f>
        <v>14103720.4</v>
      </c>
      <c r="I76" s="186">
        <f>+VLOOKUP($E76,[1]tb!$B$12:$AC$193,10,0)</f>
        <v>14103720.4</v>
      </c>
      <c r="J76" s="186">
        <f>+VLOOKUP($E76,[1]tb!$B$12:$AC$193,12,0)</f>
        <v>14103720.4</v>
      </c>
      <c r="K76" s="186">
        <f>+VLOOKUP($E76,[1]tb!$B$12:$AC$193,14,0)</f>
        <v>14103720.4</v>
      </c>
      <c r="L76" s="186">
        <f>+VLOOKUP($E76,[1]tb!$B$12:$AC$193,16,0)</f>
        <v>14103720.4</v>
      </c>
      <c r="M76" s="186">
        <f>+VLOOKUP($E76,[1]tb!$B$12:$AC$193,18,0)</f>
        <v>14103720.4</v>
      </c>
      <c r="N76" s="186">
        <f>+VLOOKUP($E76,[1]tb!$B$12:$AC$193,20,0)</f>
        <v>14103720.4</v>
      </c>
      <c r="O76" s="186">
        <f>+VLOOKUP($E76,[1]tb!$B$12:$AC$193,22,0)</f>
        <v>14103720.4</v>
      </c>
      <c r="P76" s="186">
        <f>+VLOOKUP($E76,[1]tb!$B$12:$AC$193,24,0)</f>
        <v>14103720.4</v>
      </c>
      <c r="Q76" s="186">
        <f>+VLOOKUP($E76,[1]tb!$B$12:$AC$193,26,0)</f>
        <v>14103720.4</v>
      </c>
      <c r="R76" s="186">
        <f t="shared" si="8"/>
        <v>14103720.4</v>
      </c>
    </row>
    <row r="77" spans="4:18">
      <c r="D77" s="204" t="s">
        <v>281</v>
      </c>
      <c r="E77" s="206" t="s">
        <v>59</v>
      </c>
      <c r="F77" s="186">
        <f>+VLOOKUP($E77,[1]tb!$B$12:$AC$193,5,0)</f>
        <v>4772676.41</v>
      </c>
      <c r="G77" s="186">
        <f>+VLOOKUP($E77,[1]tb!$B$12:$AC$193,7,0)</f>
        <v>4866682.12</v>
      </c>
      <c r="H77" s="186">
        <f>+VLOOKUP($E77,[1]tb!$B$12:$AC$193,9,0)</f>
        <v>4964054.4400000004</v>
      </c>
      <c r="I77" s="186">
        <f>+VLOOKUP($E77,[1]tb!$B$12:$AC$193,11,0)</f>
        <v>4964054.4400000004</v>
      </c>
      <c r="J77" s="186">
        <f>+VLOOKUP($E77,[1]tb!$B$12:$AC$193,13,0)</f>
        <v>4964054.4400000004</v>
      </c>
      <c r="K77" s="186">
        <f>+VLOOKUP($E77,[1]tb!$B$12:$AC$193,15,0)</f>
        <v>4964054.4400000004</v>
      </c>
      <c r="L77" s="186">
        <f>+VLOOKUP($E77,[1]tb!$B$12:$AC$193,17,0)</f>
        <v>4964054.4400000004</v>
      </c>
      <c r="M77" s="186">
        <f>+VLOOKUP($E77,[1]tb!$B$12:$AC$193,19,0)</f>
        <v>4964054.4400000004</v>
      </c>
      <c r="N77" s="186">
        <f>+VLOOKUP($E77,[1]tb!$B$12:$AC$193,21,0)</f>
        <v>4964054.4400000004</v>
      </c>
      <c r="O77" s="186">
        <f>+VLOOKUP($E77,[1]tb!$B$12:$AC$193,23,0)</f>
        <v>4964054.4400000004</v>
      </c>
      <c r="P77" s="186">
        <f>+VLOOKUP($E77,[1]tb!$B$12:$AC$193,25,0)</f>
        <v>4964054.4400000004</v>
      </c>
      <c r="Q77" s="186">
        <f>+VLOOKUP($E77,[1]tb!$B$12:$AC$193,27,0)</f>
        <v>4964054.4400000004</v>
      </c>
      <c r="R77" s="186">
        <f t="shared" si="8"/>
        <v>4964054.4400000004</v>
      </c>
    </row>
    <row r="78" spans="4:18">
      <c r="D78" s="204" t="s">
        <v>536</v>
      </c>
      <c r="F78" s="212">
        <f>+F76-F77</f>
        <v>9311293.9900000002</v>
      </c>
      <c r="G78" s="212">
        <f>+G76-G77</f>
        <v>9217288.2800000012</v>
      </c>
      <c r="H78" s="212">
        <f t="shared" ref="H78:Q78" si="16">+H76-H77</f>
        <v>9139665.9600000009</v>
      </c>
      <c r="I78" s="212">
        <f t="shared" si="16"/>
        <v>9139665.9600000009</v>
      </c>
      <c r="J78" s="212">
        <f t="shared" si="16"/>
        <v>9139665.9600000009</v>
      </c>
      <c r="K78" s="212">
        <f t="shared" si="16"/>
        <v>9139665.9600000009</v>
      </c>
      <c r="L78" s="212">
        <f t="shared" si="16"/>
        <v>9139665.9600000009</v>
      </c>
      <c r="M78" s="212">
        <f t="shared" si="16"/>
        <v>9139665.9600000009</v>
      </c>
      <c r="N78" s="212">
        <f t="shared" si="16"/>
        <v>9139665.9600000009</v>
      </c>
      <c r="O78" s="212">
        <f t="shared" si="16"/>
        <v>9139665.9600000009</v>
      </c>
      <c r="P78" s="212">
        <f t="shared" si="16"/>
        <v>9139665.9600000009</v>
      </c>
      <c r="Q78" s="212">
        <f t="shared" si="16"/>
        <v>9139665.9600000009</v>
      </c>
      <c r="R78" s="212">
        <f t="shared" si="8"/>
        <v>9139665.9600000009</v>
      </c>
    </row>
    <row r="79" spans="4:18">
      <c r="D79" s="204" t="s">
        <v>284</v>
      </c>
      <c r="E79" s="206" t="s">
        <v>62</v>
      </c>
      <c r="F79" s="186">
        <f>+VLOOKUP($E79,[1]tb!$B$12:$AC$193,4,0)</f>
        <v>4244500</v>
      </c>
      <c r="G79" s="186">
        <f>+VLOOKUP($E79,[1]tb!$B$12:$AC$193,6,0)</f>
        <v>4244500</v>
      </c>
      <c r="H79" s="186">
        <f>+VLOOKUP($E79,[1]tb!$B$12:$AC$193,8,0)</f>
        <v>4244500</v>
      </c>
      <c r="I79" s="186">
        <f>+VLOOKUP($E79,[1]tb!$B$12:$AC$193,10,0)</f>
        <v>4244500</v>
      </c>
      <c r="J79" s="186">
        <f>+VLOOKUP($E79,[1]tb!$B$12:$AC$193,12,0)</f>
        <v>4244500</v>
      </c>
      <c r="K79" s="186">
        <f>+VLOOKUP($E79,[1]tb!$B$12:$AC$193,14,0)</f>
        <v>4244500</v>
      </c>
      <c r="L79" s="186">
        <f>+VLOOKUP($E79,[1]tb!$B$12:$AC$193,16,0)</f>
        <v>4244500</v>
      </c>
      <c r="M79" s="186">
        <f>+VLOOKUP($E79,[1]tb!$B$12:$AC$193,18,0)</f>
        <v>4244500</v>
      </c>
      <c r="N79" s="186">
        <f>+VLOOKUP($E79,[1]tb!$B$12:$AC$193,20,0)</f>
        <v>4244500</v>
      </c>
      <c r="O79" s="186">
        <f>+VLOOKUP($E79,[1]tb!$B$12:$AC$193,22,0)</f>
        <v>4244500</v>
      </c>
      <c r="P79" s="186">
        <f>+VLOOKUP($E79,[1]tb!$B$12:$AC$193,24,0)</f>
        <v>4244500</v>
      </c>
      <c r="Q79" s="186">
        <f>+VLOOKUP($E79,[1]tb!$B$12:$AC$193,26,0)</f>
        <v>4244500</v>
      </c>
      <c r="R79" s="186">
        <f t="shared" si="8"/>
        <v>4244500</v>
      </c>
    </row>
    <row r="80" spans="4:18">
      <c r="D80" s="204" t="s">
        <v>285</v>
      </c>
      <c r="E80" s="206" t="s">
        <v>63</v>
      </c>
      <c r="F80" s="186">
        <f>+VLOOKUP($E80,[1]tb!$B$12:$AC$193,5,0)</f>
        <v>2791151.79</v>
      </c>
      <c r="G80" s="186">
        <f>+VLOOKUP($E80,[1]tb!$B$12:$AC$193,7,0)</f>
        <v>2813217.86</v>
      </c>
      <c r="H80" s="186">
        <f>+VLOOKUP($E80,[1]tb!$B$12:$AC$193,9,0)</f>
        <v>2835283.9299999997</v>
      </c>
      <c r="I80" s="186">
        <f>+VLOOKUP($E80,[1]tb!$B$12:$AC$193,11,0)</f>
        <v>2835283.9299999997</v>
      </c>
      <c r="J80" s="186">
        <f>+VLOOKUP($E80,[1]tb!$B$12:$AC$193,13,0)</f>
        <v>2835283.9299999997</v>
      </c>
      <c r="K80" s="186">
        <f>+VLOOKUP($E80,[1]tb!$B$12:$AC$193,15,0)</f>
        <v>2835283.9299999997</v>
      </c>
      <c r="L80" s="186">
        <f>+VLOOKUP($E80,[1]tb!$B$12:$AC$193,17,0)</f>
        <v>2835283.9299999997</v>
      </c>
      <c r="M80" s="186">
        <f>+VLOOKUP($E80,[1]tb!$B$12:$AC$193,19,0)</f>
        <v>2835283.9299999997</v>
      </c>
      <c r="N80" s="186">
        <f>+VLOOKUP($E80,[1]tb!$B$12:$AC$193,21,0)</f>
        <v>2835283.9299999997</v>
      </c>
      <c r="O80" s="186">
        <f>+VLOOKUP($E80,[1]tb!$B$12:$AC$193,23,0)</f>
        <v>2835283.9299999997</v>
      </c>
      <c r="P80" s="186">
        <f>+VLOOKUP($E80,[1]tb!$B$12:$AC$193,25,0)</f>
        <v>2835283.9299999997</v>
      </c>
      <c r="Q80" s="186">
        <f>+VLOOKUP($E80,[1]tb!$B$12:$AC$193,27,0)</f>
        <v>2835283.9299999997</v>
      </c>
      <c r="R80" s="186">
        <f t="shared" si="8"/>
        <v>2835283.9299999997</v>
      </c>
    </row>
    <row r="81" spans="3:18">
      <c r="D81" s="204" t="s">
        <v>536</v>
      </c>
      <c r="F81" s="212">
        <f>+F79-F80</f>
        <v>1453348.21</v>
      </c>
      <c r="G81" s="212">
        <f>+G79-G80</f>
        <v>1431282.1400000001</v>
      </c>
      <c r="H81" s="212">
        <f t="shared" ref="H81:Q81" si="17">+H79-H80</f>
        <v>1409216.0700000003</v>
      </c>
      <c r="I81" s="212">
        <f t="shared" si="17"/>
        <v>1409216.0700000003</v>
      </c>
      <c r="J81" s="212">
        <f t="shared" si="17"/>
        <v>1409216.0700000003</v>
      </c>
      <c r="K81" s="212">
        <f t="shared" si="17"/>
        <v>1409216.0700000003</v>
      </c>
      <c r="L81" s="212">
        <f t="shared" si="17"/>
        <v>1409216.0700000003</v>
      </c>
      <c r="M81" s="212">
        <f t="shared" si="17"/>
        <v>1409216.0700000003</v>
      </c>
      <c r="N81" s="212">
        <f t="shared" si="17"/>
        <v>1409216.0700000003</v>
      </c>
      <c r="O81" s="212">
        <f t="shared" si="17"/>
        <v>1409216.0700000003</v>
      </c>
      <c r="P81" s="212">
        <f t="shared" si="17"/>
        <v>1409216.0700000003</v>
      </c>
      <c r="Q81" s="212">
        <f t="shared" si="17"/>
        <v>1409216.0700000003</v>
      </c>
      <c r="R81" s="212">
        <f t="shared" si="8"/>
        <v>1409216.0700000003</v>
      </c>
    </row>
    <row r="82" spans="3:18">
      <c r="D82" s="204" t="s">
        <v>288</v>
      </c>
      <c r="E82" s="206" t="s">
        <v>66</v>
      </c>
      <c r="F82" s="186">
        <f>+VLOOKUP($E82,[1]tb!$B$12:$AC$193,4,0)</f>
        <v>1494617.21</v>
      </c>
      <c r="G82" s="186">
        <f>+VLOOKUP($E82,[1]tb!$B$12:$AC$193,6,0)</f>
        <v>1494617.21</v>
      </c>
      <c r="H82" s="186">
        <f>+VLOOKUP($E82,[1]tb!$B$12:$AC$193,8,0)</f>
        <v>1494617.21</v>
      </c>
      <c r="I82" s="186">
        <f>+VLOOKUP($E82,[1]tb!$B$12:$AC$193,10,0)</f>
        <v>1494617.21</v>
      </c>
      <c r="J82" s="186">
        <f>+VLOOKUP($E82,[1]tb!$B$12:$AC$193,12,0)</f>
        <v>1494617.21</v>
      </c>
      <c r="K82" s="186">
        <f>+VLOOKUP($E82,[1]tb!$B$12:$AC$193,14,0)</f>
        <v>1494617.21</v>
      </c>
      <c r="L82" s="186">
        <f>+VLOOKUP($E82,[1]tb!$B$12:$AC$193,16,0)</f>
        <v>1494617.21</v>
      </c>
      <c r="M82" s="186">
        <f>+VLOOKUP($E82,[1]tb!$B$12:$AC$193,18,0)</f>
        <v>1494617.21</v>
      </c>
      <c r="N82" s="186">
        <f>+VLOOKUP($E82,[1]tb!$B$12:$AC$193,20,0)</f>
        <v>1494617.21</v>
      </c>
      <c r="O82" s="186">
        <f>+VLOOKUP($E82,[1]tb!$B$12:$AC$193,22,0)</f>
        <v>1494617.21</v>
      </c>
      <c r="P82" s="186">
        <f>+VLOOKUP($E82,[1]tb!$B$12:$AC$193,24,0)</f>
        <v>1494617.21</v>
      </c>
      <c r="Q82" s="186">
        <f>+VLOOKUP($E82,[1]tb!$B$12:$AC$193,26,0)</f>
        <v>1494617.21</v>
      </c>
      <c r="R82" s="186">
        <f t="shared" si="8"/>
        <v>1494617.21</v>
      </c>
    </row>
    <row r="83" spans="3:18">
      <c r="D83" s="204" t="s">
        <v>289</v>
      </c>
      <c r="E83" s="206" t="s">
        <v>67</v>
      </c>
      <c r="F83" s="186">
        <f>+VLOOKUP($E83,[1]tb!$B$12:$AC$193,5,0)</f>
        <v>500121.4</v>
      </c>
      <c r="G83" s="186">
        <f>+VLOOKUP($E83,[1]tb!$B$12:$AC$193,7,0)</f>
        <v>509233.73000000004</v>
      </c>
      <c r="H83" s="186">
        <f>+VLOOKUP($E83,[1]tb!$B$12:$AC$193,9,0)</f>
        <v>518346.74000000005</v>
      </c>
      <c r="I83" s="186">
        <f>+VLOOKUP($E83,[1]tb!$B$12:$AC$193,11,0)</f>
        <v>518346.74000000005</v>
      </c>
      <c r="J83" s="186">
        <f>+VLOOKUP($E83,[1]tb!$B$12:$AC$193,13,0)</f>
        <v>518346.74000000005</v>
      </c>
      <c r="K83" s="186">
        <f>+VLOOKUP($E83,[1]tb!$B$12:$AC$193,15,0)</f>
        <v>518346.74000000005</v>
      </c>
      <c r="L83" s="186">
        <f>+VLOOKUP($E83,[1]tb!$B$12:$AC$193,17,0)</f>
        <v>518346.74000000005</v>
      </c>
      <c r="M83" s="186">
        <f>+VLOOKUP($E83,[1]tb!$B$12:$AC$193,19,0)</f>
        <v>518346.74000000005</v>
      </c>
      <c r="N83" s="186">
        <f>+VLOOKUP($E83,[1]tb!$B$12:$AC$193,21,0)</f>
        <v>518346.74000000005</v>
      </c>
      <c r="O83" s="186">
        <f>+VLOOKUP($E83,[1]tb!$B$12:$AC$193,23,0)</f>
        <v>518346.74000000005</v>
      </c>
      <c r="P83" s="186">
        <f>+VLOOKUP($E83,[1]tb!$B$12:$AC$193,25,0)</f>
        <v>518346.74000000005</v>
      </c>
      <c r="Q83" s="186">
        <f>+VLOOKUP($E83,[1]tb!$B$12:$AC$193,27,0)</f>
        <v>518346.74000000005</v>
      </c>
      <c r="R83" s="186">
        <f t="shared" si="8"/>
        <v>518346.74000000005</v>
      </c>
    </row>
    <row r="84" spans="3:18">
      <c r="D84" s="204" t="s">
        <v>536</v>
      </c>
      <c r="F84" s="212">
        <f>+F82-F83</f>
        <v>994495.80999999994</v>
      </c>
      <c r="G84" s="212">
        <f>+G82-G83</f>
        <v>985383.48</v>
      </c>
      <c r="H84" s="212">
        <f t="shared" ref="H84:Q84" si="18">+H82-H83</f>
        <v>976270.47</v>
      </c>
      <c r="I84" s="212">
        <f t="shared" si="18"/>
        <v>976270.47</v>
      </c>
      <c r="J84" s="212">
        <f t="shared" si="18"/>
        <v>976270.47</v>
      </c>
      <c r="K84" s="212">
        <f t="shared" si="18"/>
        <v>976270.47</v>
      </c>
      <c r="L84" s="212">
        <f t="shared" si="18"/>
        <v>976270.47</v>
      </c>
      <c r="M84" s="212">
        <f t="shared" si="18"/>
        <v>976270.47</v>
      </c>
      <c r="N84" s="212">
        <f t="shared" si="18"/>
        <v>976270.47</v>
      </c>
      <c r="O84" s="212">
        <f t="shared" si="18"/>
        <v>976270.47</v>
      </c>
      <c r="P84" s="212">
        <f t="shared" si="18"/>
        <v>976270.47</v>
      </c>
      <c r="Q84" s="212">
        <f t="shared" si="18"/>
        <v>976270.47</v>
      </c>
      <c r="R84" s="212">
        <f t="shared" si="8"/>
        <v>976270.47</v>
      </c>
    </row>
    <row r="85" spans="3:18">
      <c r="D85" s="204" t="s">
        <v>294</v>
      </c>
      <c r="E85" s="206" t="s">
        <v>72</v>
      </c>
      <c r="F85" s="212">
        <f>+VLOOKUP($E85,[1]tb!$B$12:$AC$193,4,0)</f>
        <v>6521489.2300000004</v>
      </c>
      <c r="G85" s="212">
        <f>+VLOOKUP($E85,[1]tb!$B$12:$AC$193,6,0)</f>
        <v>6521489.2300000004</v>
      </c>
      <c r="H85" s="212">
        <f>+VLOOKUP($E85,[1]tb!$B$12:$AC$193,8,0)</f>
        <v>6521489.2300000004</v>
      </c>
      <c r="I85" s="212">
        <f>+VLOOKUP($E85,[1]tb!$B$12:$AC$193,10,0)</f>
        <v>6521489.2300000004</v>
      </c>
      <c r="J85" s="212">
        <f>+VLOOKUP($E85,[1]tb!$B$12:$AC$193,12,0)</f>
        <v>6521489.2300000004</v>
      </c>
      <c r="K85" s="212">
        <f>+VLOOKUP($E85,[1]tb!$B$12:$AC$193,14,0)</f>
        <v>6521489.2300000004</v>
      </c>
      <c r="L85" s="212">
        <f>+VLOOKUP($E85,[1]tb!$B$12:$AC$193,16,0)</f>
        <v>6521489.2300000004</v>
      </c>
      <c r="M85" s="212">
        <f>+VLOOKUP($E85,[1]tb!$B$12:$AC$193,18,0)</f>
        <v>6521489.2300000004</v>
      </c>
      <c r="N85" s="212">
        <f>+VLOOKUP($E85,[1]tb!$B$12:$AC$193,20,0)</f>
        <v>6521489.2300000004</v>
      </c>
      <c r="O85" s="212">
        <f>+VLOOKUP($E85,[1]tb!$B$12:$AC$193,22,0)</f>
        <v>6521489.2300000004</v>
      </c>
      <c r="P85" s="212">
        <f>+VLOOKUP($E85,[1]tb!$B$12:$AC$193,24,0)</f>
        <v>6521489.2300000004</v>
      </c>
      <c r="Q85" s="212">
        <f>+VLOOKUP($E85,[1]tb!$B$12:$AC$193,26,0)</f>
        <v>6521489.2300000004</v>
      </c>
      <c r="R85" s="212">
        <f t="shared" si="8"/>
        <v>6521489.2300000004</v>
      </c>
    </row>
    <row r="86" spans="3:18">
      <c r="D86" s="204" t="s">
        <v>295</v>
      </c>
      <c r="E86" s="206" t="s">
        <v>73</v>
      </c>
      <c r="F86" s="186">
        <f>+VLOOKUP($E86,[1]tb!$B$12:$AC$193,4,0)</f>
        <v>691130</v>
      </c>
      <c r="G86" s="186">
        <f>+VLOOKUP($E86,[1]tb!$B$12:$AC$193,6,0)</f>
        <v>691130</v>
      </c>
      <c r="H86" s="186">
        <f>+VLOOKUP($E86,[1]tb!$B$12:$AC$193,8,0)</f>
        <v>714920</v>
      </c>
      <c r="I86" s="186">
        <f>+VLOOKUP($E86,[1]tb!$B$12:$AC$193,10,0)</f>
        <v>714920</v>
      </c>
      <c r="J86" s="186">
        <f>+VLOOKUP($E86,[1]tb!$B$12:$AC$193,12,0)</f>
        <v>714920</v>
      </c>
      <c r="K86" s="186">
        <f>+VLOOKUP($E86,[1]tb!$B$12:$AC$193,14,0)</f>
        <v>714920</v>
      </c>
      <c r="L86" s="186">
        <f>+VLOOKUP($E86,[1]tb!$B$12:$AC$193,16,0)</f>
        <v>714920</v>
      </c>
      <c r="M86" s="186">
        <f>+VLOOKUP($E86,[1]tb!$B$12:$AC$193,18,0)</f>
        <v>714920</v>
      </c>
      <c r="N86" s="186">
        <f>+VLOOKUP($E86,[1]tb!$B$12:$AC$193,20,0)</f>
        <v>714920</v>
      </c>
      <c r="O86" s="186">
        <f>+VLOOKUP($E86,[1]tb!$B$12:$AC$193,22,0)</f>
        <v>714920</v>
      </c>
      <c r="P86" s="186">
        <f>+VLOOKUP($E86,[1]tb!$B$12:$AC$193,24,0)</f>
        <v>714920</v>
      </c>
      <c r="Q86" s="186">
        <f>+VLOOKUP($E86,[1]tb!$B$12:$AC$193,26,0)</f>
        <v>714920</v>
      </c>
      <c r="R86" s="186">
        <f t="shared" si="8"/>
        <v>714920</v>
      </c>
    </row>
    <row r="87" spans="3:18">
      <c r="D87" s="204" t="s">
        <v>296</v>
      </c>
      <c r="E87" s="206" t="s">
        <v>74</v>
      </c>
      <c r="F87" s="186">
        <f>+VLOOKUP($E87,[1]tb!$B$12:$AC$193,5,0)</f>
        <v>392946.83</v>
      </c>
      <c r="G87" s="186">
        <f>+VLOOKUP($E87,[1]tb!$B$12:$AC$193,7,0)</f>
        <v>399736.09</v>
      </c>
      <c r="H87" s="186">
        <f>+VLOOKUP($E87,[1]tb!$B$12:$AC$193,9,0)</f>
        <v>415387.22000000003</v>
      </c>
      <c r="I87" s="186">
        <f>+VLOOKUP($E87,[1]tb!$B$12:$AC$193,11,0)</f>
        <v>415387.22000000003</v>
      </c>
      <c r="J87" s="186">
        <f>+VLOOKUP($E87,[1]tb!$B$12:$AC$193,13,0)</f>
        <v>415387.22000000003</v>
      </c>
      <c r="K87" s="186">
        <f>+VLOOKUP($E87,[1]tb!$B$12:$AC$193,15,0)</f>
        <v>415387.22000000003</v>
      </c>
      <c r="L87" s="186">
        <f>+VLOOKUP($E87,[1]tb!$B$12:$AC$193,17,0)</f>
        <v>415387.22000000003</v>
      </c>
      <c r="M87" s="186">
        <f>+VLOOKUP($E87,[1]tb!$B$12:$AC$193,19,0)</f>
        <v>415387.22000000003</v>
      </c>
      <c r="N87" s="186">
        <f>+VLOOKUP($E87,[1]tb!$B$12:$AC$193,21,0)</f>
        <v>415387.22000000003</v>
      </c>
      <c r="O87" s="186">
        <f>+VLOOKUP($E87,[1]tb!$B$12:$AC$193,23,0)</f>
        <v>415387.22000000003</v>
      </c>
      <c r="P87" s="186">
        <f>+VLOOKUP($E87,[1]tb!$B$12:$AC$193,25,0)</f>
        <v>415387.22000000003</v>
      </c>
      <c r="Q87" s="186">
        <f>+VLOOKUP($E87,[1]tb!$B$12:$AC$193,27,0)</f>
        <v>415387.22000000003</v>
      </c>
      <c r="R87" s="186">
        <f t="shared" si="8"/>
        <v>415387.22000000003</v>
      </c>
    </row>
    <row r="88" spans="3:18">
      <c r="D88" s="204" t="s">
        <v>536</v>
      </c>
      <c r="F88" s="212">
        <f>+F86-F87</f>
        <v>298183.17</v>
      </c>
      <c r="G88" s="212">
        <f>+G86-G87</f>
        <v>291393.90999999997</v>
      </c>
      <c r="H88" s="212">
        <f t="shared" ref="H88:Q88" si="19">+H86-H87</f>
        <v>299532.77999999997</v>
      </c>
      <c r="I88" s="212">
        <f t="shared" si="19"/>
        <v>299532.77999999997</v>
      </c>
      <c r="J88" s="212">
        <f t="shared" si="19"/>
        <v>299532.77999999997</v>
      </c>
      <c r="K88" s="212">
        <f t="shared" si="19"/>
        <v>299532.77999999997</v>
      </c>
      <c r="L88" s="212">
        <f t="shared" si="19"/>
        <v>299532.77999999997</v>
      </c>
      <c r="M88" s="212">
        <f t="shared" si="19"/>
        <v>299532.77999999997</v>
      </c>
      <c r="N88" s="212">
        <f t="shared" si="19"/>
        <v>299532.77999999997</v>
      </c>
      <c r="O88" s="212">
        <f t="shared" si="19"/>
        <v>299532.77999999997</v>
      </c>
      <c r="P88" s="212">
        <f t="shared" si="19"/>
        <v>299532.77999999997</v>
      </c>
      <c r="Q88" s="212">
        <f t="shared" si="19"/>
        <v>299532.77999999997</v>
      </c>
      <c r="R88" s="212">
        <f t="shared" si="8"/>
        <v>299532.77999999997</v>
      </c>
    </row>
    <row r="89" spans="3:18" ht="5.0999999999999996" customHeight="1"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3:18">
      <c r="C90" s="208" t="s">
        <v>714</v>
      </c>
      <c r="F90" s="209">
        <f>+F91</f>
        <v>0</v>
      </c>
      <c r="G90" s="209">
        <f>+G91</f>
        <v>0</v>
      </c>
      <c r="H90" s="209">
        <f t="shared" ref="H90:Q90" si="20">+H91</f>
        <v>0</v>
      </c>
      <c r="I90" s="209">
        <f t="shared" si="20"/>
        <v>0</v>
      </c>
      <c r="J90" s="209">
        <f t="shared" si="20"/>
        <v>0</v>
      </c>
      <c r="K90" s="209">
        <f t="shared" si="20"/>
        <v>0</v>
      </c>
      <c r="L90" s="209">
        <f t="shared" si="20"/>
        <v>0</v>
      </c>
      <c r="M90" s="209">
        <f t="shared" si="20"/>
        <v>0</v>
      </c>
      <c r="N90" s="209">
        <f t="shared" si="20"/>
        <v>0</v>
      </c>
      <c r="O90" s="209">
        <f t="shared" si="20"/>
        <v>0</v>
      </c>
      <c r="P90" s="209">
        <f t="shared" si="20"/>
        <v>0</v>
      </c>
      <c r="Q90" s="209">
        <f t="shared" si="20"/>
        <v>0</v>
      </c>
      <c r="R90" s="209">
        <f t="shared" si="8"/>
        <v>0</v>
      </c>
    </row>
    <row r="91" spans="3:18">
      <c r="D91" s="204" t="s">
        <v>297</v>
      </c>
      <c r="E91" s="206" t="s">
        <v>75</v>
      </c>
      <c r="F91" s="213">
        <f>+VLOOKUP($E91,[1]tb!$B$12:$AC$193,4,0)</f>
        <v>0</v>
      </c>
      <c r="G91" s="213">
        <f>+VLOOKUP($E91,[1]tb!$B$12:$AC$193,6,0)</f>
        <v>0</v>
      </c>
      <c r="H91" s="213">
        <f>+VLOOKUP($E91,[1]tb!$B$12:$AC$193,8,0)</f>
        <v>0</v>
      </c>
      <c r="I91" s="213">
        <f>+VLOOKUP($E91,[1]tb!$B$12:$AC$193,10,0)</f>
        <v>0</v>
      </c>
      <c r="J91" s="213">
        <f>+VLOOKUP($E91,[1]tb!$B$12:$AC$193,12,0)</f>
        <v>0</v>
      </c>
      <c r="K91" s="213">
        <f>+VLOOKUP($E91,[1]tb!$B$12:$AC$193,14,0)</f>
        <v>0</v>
      </c>
      <c r="L91" s="213">
        <f>+VLOOKUP($E91,[1]tb!$B$12:$AC$193,16,0)</f>
        <v>0</v>
      </c>
      <c r="M91" s="213">
        <f>+VLOOKUP($E91,[1]tb!$B$12:$AC$193,18,0)</f>
        <v>0</v>
      </c>
      <c r="N91" s="213">
        <f>+VLOOKUP($E91,[1]tb!$B$12:$AC$193,20,0)</f>
        <v>0</v>
      </c>
      <c r="O91" s="213">
        <f>+VLOOKUP($E91,[1]tb!$B$12:$AC$193,22,0)</f>
        <v>0</v>
      </c>
      <c r="P91" s="213">
        <f>+VLOOKUP($E91,[1]tb!$B$12:$AC$193,24,0)</f>
        <v>0</v>
      </c>
      <c r="Q91" s="213">
        <f>+VLOOKUP($E91,[1]tb!$B$12:$AC$193,26,0)</f>
        <v>0</v>
      </c>
      <c r="R91" s="213">
        <f t="shared" si="8"/>
        <v>0</v>
      </c>
    </row>
    <row r="92" spans="3:18" ht="5.0999999999999996" customHeight="1"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</row>
    <row r="93" spans="3:18">
      <c r="D93" s="210" t="s">
        <v>715</v>
      </c>
      <c r="F93" s="211">
        <f>+F90+F52</f>
        <v>27434880.300000004</v>
      </c>
      <c r="G93" s="211">
        <f>+G90+G52</f>
        <v>27251998.330000002</v>
      </c>
      <c r="H93" s="211">
        <f t="shared" ref="H93:Q93" si="21">+H90+H52</f>
        <v>27100426.740000002</v>
      </c>
      <c r="I93" s="211">
        <f t="shared" si="21"/>
        <v>27100426.740000002</v>
      </c>
      <c r="J93" s="211">
        <f t="shared" si="21"/>
        <v>27100426.740000002</v>
      </c>
      <c r="K93" s="211">
        <f t="shared" si="21"/>
        <v>27100426.740000002</v>
      </c>
      <c r="L93" s="211">
        <f t="shared" si="21"/>
        <v>27100426.740000002</v>
      </c>
      <c r="M93" s="211">
        <f t="shared" si="21"/>
        <v>27100426.740000002</v>
      </c>
      <c r="N93" s="211">
        <f t="shared" si="21"/>
        <v>27100426.740000002</v>
      </c>
      <c r="O93" s="211">
        <f t="shared" si="21"/>
        <v>27100426.740000002</v>
      </c>
      <c r="P93" s="211">
        <f t="shared" si="21"/>
        <v>27100426.740000002</v>
      </c>
      <c r="Q93" s="211">
        <f t="shared" si="21"/>
        <v>27100426.740000002</v>
      </c>
      <c r="R93" s="211">
        <f t="shared" si="8"/>
        <v>27100426.740000002</v>
      </c>
    </row>
    <row r="94" spans="3:18" ht="5.0999999999999996" customHeight="1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3:18" ht="12.75" thickBot="1">
      <c r="D95" s="210" t="s">
        <v>716</v>
      </c>
      <c r="F95" s="214">
        <f>+F93+F48</f>
        <v>30298470.180000003</v>
      </c>
      <c r="G95" s="214">
        <f>+G93+G48</f>
        <v>30624135.230000004</v>
      </c>
      <c r="H95" s="214">
        <f t="shared" ref="H95:Q95" si="22">+H93+H48</f>
        <v>30855390.100000001</v>
      </c>
      <c r="I95" s="214">
        <f t="shared" si="22"/>
        <v>30855390.100000001</v>
      </c>
      <c r="J95" s="214">
        <f t="shared" si="22"/>
        <v>30855390.100000001</v>
      </c>
      <c r="K95" s="214">
        <f t="shared" si="22"/>
        <v>30855390.100000001</v>
      </c>
      <c r="L95" s="214">
        <f t="shared" si="22"/>
        <v>30855390.100000001</v>
      </c>
      <c r="M95" s="214">
        <f t="shared" si="22"/>
        <v>30855390.100000001</v>
      </c>
      <c r="N95" s="214">
        <f t="shared" si="22"/>
        <v>30855390.100000001</v>
      </c>
      <c r="O95" s="214">
        <f t="shared" si="22"/>
        <v>30855390.100000001</v>
      </c>
      <c r="P95" s="214">
        <f t="shared" si="22"/>
        <v>30855390.100000001</v>
      </c>
      <c r="Q95" s="214">
        <f t="shared" si="22"/>
        <v>30855390.100000001</v>
      </c>
      <c r="R95" s="214">
        <f>R12+R23+R29+R35+R52</f>
        <v>29583889.100000001</v>
      </c>
    </row>
    <row r="96" spans="3:18" ht="5.0999999999999996" customHeight="1" thickTop="1"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1:18"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>
        <f t="shared" si="8"/>
        <v>0</v>
      </c>
    </row>
    <row r="98" spans="1:18">
      <c r="A98" s="208" t="s">
        <v>564</v>
      </c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>
        <f t="shared" si="8"/>
        <v>0</v>
      </c>
    </row>
    <row r="99" spans="1:18">
      <c r="B99" s="208" t="s">
        <v>717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>
        <f t="shared" si="8"/>
        <v>0</v>
      </c>
    </row>
    <row r="100" spans="1:18" ht="5.0999999999999996" customHeight="1"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>
      <c r="C101" s="208" t="s">
        <v>718</v>
      </c>
      <c r="F101" s="209">
        <f>+SUM(F102:F104)</f>
        <v>589691.80000000005</v>
      </c>
      <c r="G101" s="209">
        <f>+SUM(G102:G104)</f>
        <v>589691.80000000005</v>
      </c>
      <c r="H101" s="209">
        <f t="shared" ref="H101:Q101" si="23">+SUM(H102:H104)</f>
        <v>589691.80000000016</v>
      </c>
      <c r="I101" s="209">
        <f t="shared" si="23"/>
        <v>589691.80000000016</v>
      </c>
      <c r="J101" s="209">
        <f t="shared" si="23"/>
        <v>589691.80000000016</v>
      </c>
      <c r="K101" s="209">
        <f t="shared" si="23"/>
        <v>589691.80000000016</v>
      </c>
      <c r="L101" s="209">
        <f t="shared" si="23"/>
        <v>589691.80000000016</v>
      </c>
      <c r="M101" s="209">
        <f t="shared" si="23"/>
        <v>589691.80000000016</v>
      </c>
      <c r="N101" s="209">
        <f t="shared" si="23"/>
        <v>589691.80000000016</v>
      </c>
      <c r="O101" s="209">
        <f t="shared" si="23"/>
        <v>589691.80000000016</v>
      </c>
      <c r="P101" s="209">
        <f t="shared" si="23"/>
        <v>589691.80000000016</v>
      </c>
      <c r="Q101" s="209">
        <f t="shared" si="23"/>
        <v>589691.80000000016</v>
      </c>
      <c r="R101" s="209">
        <f t="shared" si="8"/>
        <v>589691.80000000016</v>
      </c>
    </row>
    <row r="102" spans="1:18">
      <c r="D102" s="204" t="s">
        <v>309</v>
      </c>
      <c r="E102" s="206" t="s">
        <v>87</v>
      </c>
      <c r="F102" s="186">
        <f>+VLOOKUP($E102,[1]tb!$B$12:$AC$193,5,0)</f>
        <v>589691.80000000005</v>
      </c>
      <c r="G102" s="186">
        <f>+VLOOKUP($E102,[1]tb!$B$12:$AC$193,7,0)</f>
        <v>589691.80000000005</v>
      </c>
      <c r="H102" s="186">
        <f>+VLOOKUP($E102,[1]tb!$B$12:$AC$193,9,0)</f>
        <v>589691.80000000005</v>
      </c>
      <c r="I102" s="186">
        <f>+VLOOKUP($E102,[1]tb!$B$12:$AC$193,11,0)</f>
        <v>589691.80000000005</v>
      </c>
      <c r="J102" s="186">
        <f>+VLOOKUP($E102,[1]tb!$B$12:$AC$193,13,0)</f>
        <v>589691.80000000005</v>
      </c>
      <c r="K102" s="186">
        <f>+VLOOKUP($E102,[1]tb!$B$12:$AC$193,15,0)</f>
        <v>589691.80000000005</v>
      </c>
      <c r="L102" s="186">
        <f>+VLOOKUP($E102,[1]tb!$B$12:$AC$193,17,0)</f>
        <v>589691.80000000005</v>
      </c>
      <c r="M102" s="186">
        <f>+VLOOKUP($E102,[1]tb!$B$12:$AC$193,19,0)</f>
        <v>589691.80000000005</v>
      </c>
      <c r="N102" s="186">
        <f>+VLOOKUP($E102,[1]tb!$B$12:$AC$193,21,0)</f>
        <v>589691.80000000005</v>
      </c>
      <c r="O102" s="186">
        <f>+VLOOKUP($E102,[1]tb!$B$12:$AC$193,23,0)</f>
        <v>589691.80000000005</v>
      </c>
      <c r="P102" s="186">
        <f>+VLOOKUP($E102,[1]tb!$B$12:$AC$193,25,0)</f>
        <v>589691.80000000005</v>
      </c>
      <c r="Q102" s="186">
        <f>+VLOOKUP($E102,[1]tb!$B$12:$AC$193,27,0)</f>
        <v>589691.80000000005</v>
      </c>
      <c r="R102" s="186">
        <f t="shared" si="8"/>
        <v>589691.80000000005</v>
      </c>
    </row>
    <row r="103" spans="1:18">
      <c r="D103" s="204" t="s">
        <v>310</v>
      </c>
      <c r="E103" s="206" t="s">
        <v>88</v>
      </c>
      <c r="F103" s="186">
        <f>+VLOOKUP($E103,[1]tb!$B$12:$AC$193,5,0)</f>
        <v>0</v>
      </c>
      <c r="G103" s="186">
        <f>+VLOOKUP($E103,[1]tb!$B$12:$AC$193,7,0)</f>
        <v>5.8207660913467407E-11</v>
      </c>
      <c r="H103" s="186">
        <f>+VLOOKUP($E103,[1]tb!$B$12:$AC$193,9,0)</f>
        <v>1.1641532182693481E-10</v>
      </c>
      <c r="I103" s="186">
        <f>+VLOOKUP($E103,[1]tb!$B$12:$AC$193,11,0)</f>
        <v>1.1641532182693481E-10</v>
      </c>
      <c r="J103" s="186">
        <f>+VLOOKUP($E103,[1]tb!$B$12:$AC$193,13,0)</f>
        <v>1.1641532182693481E-10</v>
      </c>
      <c r="K103" s="186">
        <f>+VLOOKUP($E103,[1]tb!$B$12:$AC$193,15,0)</f>
        <v>1.1641532182693481E-10</v>
      </c>
      <c r="L103" s="186">
        <f>+VLOOKUP($E103,[1]tb!$B$12:$AC$193,17,0)</f>
        <v>1.1641532182693481E-10</v>
      </c>
      <c r="M103" s="186">
        <f>+VLOOKUP($E103,[1]tb!$B$12:$AC$193,19,0)</f>
        <v>1.1641532182693481E-10</v>
      </c>
      <c r="N103" s="186">
        <f>+VLOOKUP($E103,[1]tb!$B$12:$AC$193,21,0)</f>
        <v>1.1641532182693481E-10</v>
      </c>
      <c r="O103" s="186">
        <f>+VLOOKUP($E103,[1]tb!$B$12:$AC$193,23,0)</f>
        <v>1.1641532182693481E-10</v>
      </c>
      <c r="P103" s="186">
        <f>+VLOOKUP($E103,[1]tb!$B$12:$AC$193,25,0)</f>
        <v>1.1641532182693481E-10</v>
      </c>
      <c r="Q103" s="186">
        <f>+VLOOKUP($E103,[1]tb!$B$12:$AC$193,27,0)</f>
        <v>1.1641532182693481E-10</v>
      </c>
      <c r="R103" s="186">
        <f t="shared" si="8"/>
        <v>1.1641532182693481E-10</v>
      </c>
    </row>
    <row r="104" spans="1:18" ht="5.0999999999999996" customHeight="1"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>
      <c r="C105" s="208" t="s">
        <v>719</v>
      </c>
      <c r="F105" s="209">
        <f>+SUM(F106:F112)</f>
        <v>186916.78999999998</v>
      </c>
      <c r="G105" s="209">
        <f>+SUM(G106:G112)</f>
        <v>195571.72999999998</v>
      </c>
      <c r="H105" s="209">
        <f t="shared" ref="H105:Q105" si="24">+SUM(H106:H112)</f>
        <v>200409.60999999996</v>
      </c>
      <c r="I105" s="209">
        <f t="shared" si="24"/>
        <v>200409.60999999996</v>
      </c>
      <c r="J105" s="209">
        <f t="shared" si="24"/>
        <v>200409.60999999996</v>
      </c>
      <c r="K105" s="209">
        <f t="shared" si="24"/>
        <v>200409.60999999996</v>
      </c>
      <c r="L105" s="209">
        <f t="shared" si="24"/>
        <v>200409.60999999996</v>
      </c>
      <c r="M105" s="209">
        <f t="shared" si="24"/>
        <v>200409.60999999996</v>
      </c>
      <c r="N105" s="209">
        <f t="shared" si="24"/>
        <v>200409.60999999996</v>
      </c>
      <c r="O105" s="209">
        <f t="shared" si="24"/>
        <v>200409.60999999996</v>
      </c>
      <c r="P105" s="209">
        <f t="shared" si="24"/>
        <v>200409.60999999996</v>
      </c>
      <c r="Q105" s="209">
        <f t="shared" si="24"/>
        <v>200409.60999999996</v>
      </c>
      <c r="R105" s="209">
        <f t="shared" si="8"/>
        <v>200409.60999999996</v>
      </c>
    </row>
    <row r="106" spans="1:18">
      <c r="D106" s="204" t="s">
        <v>311</v>
      </c>
      <c r="E106" s="206" t="s">
        <v>89</v>
      </c>
      <c r="F106" s="186">
        <f>+VLOOKUP($E106,[1]tb!$B$12:$AC$193,5,0)</f>
        <v>186916.78999999998</v>
      </c>
      <c r="G106" s="186">
        <f>+VLOOKUP($E106,[1]tb!$B$12:$AC$193,7,0)</f>
        <v>193771.72999999998</v>
      </c>
      <c r="H106" s="186">
        <f>+VLOOKUP($E106,[1]tb!$B$12:$AC$193,9,0)</f>
        <v>198709.60999999996</v>
      </c>
      <c r="I106" s="186">
        <f>+VLOOKUP($E106,[1]tb!$B$12:$AC$193,11,0)</f>
        <v>198709.60999999996</v>
      </c>
      <c r="J106" s="186">
        <f>+VLOOKUP($E106,[1]tb!$B$12:$AC$193,13,0)</f>
        <v>198709.60999999996</v>
      </c>
      <c r="K106" s="186">
        <f>+VLOOKUP($E106,[1]tb!$B$12:$AC$193,15,0)</f>
        <v>198709.60999999996</v>
      </c>
      <c r="L106" s="186">
        <f>+VLOOKUP($E106,[1]tb!$B$12:$AC$193,17,0)</f>
        <v>198709.60999999996</v>
      </c>
      <c r="M106" s="186">
        <f>+VLOOKUP($E106,[1]tb!$B$12:$AC$193,19,0)</f>
        <v>198709.60999999996</v>
      </c>
      <c r="N106" s="186">
        <f>+VLOOKUP($E106,[1]tb!$B$12:$AC$193,21,0)</f>
        <v>198709.60999999996</v>
      </c>
      <c r="O106" s="186">
        <f>+VLOOKUP($E106,[1]tb!$B$12:$AC$193,23,0)</f>
        <v>198709.60999999996</v>
      </c>
      <c r="P106" s="186">
        <f>+VLOOKUP($E106,[1]tb!$B$12:$AC$193,25,0)</f>
        <v>198709.60999999996</v>
      </c>
      <c r="Q106" s="186">
        <f>+VLOOKUP($E106,[1]tb!$B$12:$AC$193,27,0)</f>
        <v>198709.60999999996</v>
      </c>
      <c r="R106" s="186">
        <f t="shared" si="8"/>
        <v>198709.60999999996</v>
      </c>
    </row>
    <row r="107" spans="1:18" hidden="1">
      <c r="D107" s="204" t="s">
        <v>312</v>
      </c>
      <c r="E107" s="206" t="s">
        <v>90</v>
      </c>
      <c r="F107" s="186">
        <f>+VLOOKUP($E107,[1]tb!$B$12:$AC$193,5,0)</f>
        <v>0</v>
      </c>
      <c r="G107" s="186">
        <f>+VLOOKUP($E107,[1]tb!$B$12:$AC$193,7,0)</f>
        <v>0</v>
      </c>
      <c r="H107" s="186">
        <f>+VLOOKUP($E107,[1]tb!$B$12:$AC$193,9,0)</f>
        <v>0</v>
      </c>
      <c r="I107" s="186">
        <f>+VLOOKUP($E107,[1]tb!$B$12:$AC$193,11,0)</f>
        <v>0</v>
      </c>
      <c r="J107" s="186">
        <f>+VLOOKUP($E107,[1]tb!$B$12:$AC$193,13,0)</f>
        <v>0</v>
      </c>
      <c r="K107" s="186">
        <f>+VLOOKUP($E107,[1]tb!$B$12:$AC$193,15,0)</f>
        <v>0</v>
      </c>
      <c r="L107" s="186">
        <f>+VLOOKUP($E107,[1]tb!$B$12:$AC$193,17,0)</f>
        <v>0</v>
      </c>
      <c r="M107" s="186">
        <f>+VLOOKUP($E107,[1]tb!$B$12:$AC$193,19,0)</f>
        <v>0</v>
      </c>
      <c r="N107" s="186">
        <f>+VLOOKUP($E107,[1]tb!$B$12:$AC$193,21,0)</f>
        <v>0</v>
      </c>
      <c r="O107" s="186">
        <f>+VLOOKUP($E107,[1]tb!$B$12:$AC$193,23,0)</f>
        <v>0</v>
      </c>
      <c r="P107" s="186">
        <f>+VLOOKUP($E107,[1]tb!$B$12:$AC$193,25,0)</f>
        <v>0</v>
      </c>
      <c r="Q107" s="186">
        <f>+VLOOKUP($E107,[1]tb!$B$12:$AC$193,27,0)</f>
        <v>0</v>
      </c>
      <c r="R107" s="186">
        <f t="shared" si="8"/>
        <v>0</v>
      </c>
    </row>
    <row r="108" spans="1:18" hidden="1">
      <c r="D108" s="204" t="s">
        <v>313</v>
      </c>
      <c r="E108" s="206" t="s">
        <v>91</v>
      </c>
      <c r="F108" s="186">
        <f>+VLOOKUP($E108,[1]tb!$B$12:$AC$193,5,0)</f>
        <v>0</v>
      </c>
      <c r="G108" s="186">
        <f>+VLOOKUP($E108,[1]tb!$B$12:$AC$193,7,0)</f>
        <v>1799.9999999999927</v>
      </c>
      <c r="H108" s="186">
        <f>+VLOOKUP($E108,[1]tb!$B$12:$AC$193,9,0)</f>
        <v>0</v>
      </c>
      <c r="I108" s="186">
        <f>+VLOOKUP($E108,[1]tb!$B$12:$AC$193,11,0)</f>
        <v>0</v>
      </c>
      <c r="J108" s="186">
        <f>+VLOOKUP($E108,[1]tb!$B$12:$AC$193,13,0)</f>
        <v>0</v>
      </c>
      <c r="K108" s="186">
        <f>+VLOOKUP($E108,[1]tb!$B$12:$AC$193,15,0)</f>
        <v>0</v>
      </c>
      <c r="L108" s="186">
        <f>+VLOOKUP($E108,[1]tb!$B$12:$AC$193,17,0)</f>
        <v>0</v>
      </c>
      <c r="M108" s="186">
        <f>+VLOOKUP($E108,[1]tb!$B$12:$AC$193,19,0)</f>
        <v>0</v>
      </c>
      <c r="N108" s="186">
        <f>+VLOOKUP($E108,[1]tb!$B$12:$AC$193,21,0)</f>
        <v>0</v>
      </c>
      <c r="O108" s="186">
        <f>+VLOOKUP($E108,[1]tb!$B$12:$AC$193,23,0)</f>
        <v>0</v>
      </c>
      <c r="P108" s="186">
        <f>+VLOOKUP($E108,[1]tb!$B$12:$AC$193,25,0)</f>
        <v>0</v>
      </c>
      <c r="Q108" s="186">
        <f>+VLOOKUP($E108,[1]tb!$B$12:$AC$193,27,0)</f>
        <v>0</v>
      </c>
      <c r="R108" s="186">
        <f t="shared" si="8"/>
        <v>0</v>
      </c>
    </row>
    <row r="109" spans="1:18">
      <c r="D109" s="204" t="s">
        <v>314</v>
      </c>
      <c r="E109" s="206" t="s">
        <v>92</v>
      </c>
      <c r="F109" s="186">
        <f>+VLOOKUP($E109,[1]tb!$B$12:$AC$193,5,0)</f>
        <v>0</v>
      </c>
      <c r="G109" s="186">
        <f>+VLOOKUP($E109,[1]tb!$B$12:$AC$193,7,0)</f>
        <v>0</v>
      </c>
      <c r="H109" s="186">
        <f>+VLOOKUP($E109,[1]tb!$B$12:$AC$193,9,0)</f>
        <v>1700</v>
      </c>
      <c r="I109" s="186">
        <f>+VLOOKUP($E109,[1]tb!$B$12:$AC$193,11,0)</f>
        <v>1700</v>
      </c>
      <c r="J109" s="186">
        <f>+VLOOKUP($E109,[1]tb!$B$12:$AC$193,13,0)</f>
        <v>1700</v>
      </c>
      <c r="K109" s="186">
        <f>+VLOOKUP($E109,[1]tb!$B$12:$AC$193,15,0)</f>
        <v>1700</v>
      </c>
      <c r="L109" s="186">
        <f>+VLOOKUP($E109,[1]tb!$B$12:$AC$193,17,0)</f>
        <v>1700</v>
      </c>
      <c r="M109" s="186">
        <f>+VLOOKUP($E109,[1]tb!$B$12:$AC$193,19,0)</f>
        <v>1700</v>
      </c>
      <c r="N109" s="186">
        <f>+VLOOKUP($E109,[1]tb!$B$12:$AC$193,21,0)</f>
        <v>1700</v>
      </c>
      <c r="O109" s="186">
        <f>+VLOOKUP($E109,[1]tb!$B$12:$AC$193,23,0)</f>
        <v>1700</v>
      </c>
      <c r="P109" s="186">
        <f>+VLOOKUP($E109,[1]tb!$B$12:$AC$193,25,0)</f>
        <v>1700</v>
      </c>
      <c r="Q109" s="186">
        <f>+VLOOKUP($E109,[1]tb!$B$12:$AC$193,27,0)</f>
        <v>1700</v>
      </c>
      <c r="R109" s="186">
        <f t="shared" si="8"/>
        <v>1700</v>
      </c>
    </row>
    <row r="110" spans="1:18" hidden="1">
      <c r="D110" s="204" t="s">
        <v>315</v>
      </c>
      <c r="E110" s="206" t="s">
        <v>93</v>
      </c>
      <c r="F110" s="186">
        <f>+VLOOKUP($E110,[1]tb!$B$12:$AC$193,5,0)</f>
        <v>0</v>
      </c>
      <c r="G110" s="186">
        <f>+VLOOKUP($E110,[1]tb!$B$12:$AC$193,7,0)</f>
        <v>0</v>
      </c>
      <c r="H110" s="186">
        <f>+VLOOKUP($E110,[1]tb!$B$12:$AC$193,9,0)</f>
        <v>0</v>
      </c>
      <c r="I110" s="186">
        <f>+VLOOKUP($E110,[1]tb!$B$12:$AC$193,11,0)</f>
        <v>0</v>
      </c>
      <c r="J110" s="186">
        <f>+VLOOKUP($E110,[1]tb!$B$12:$AC$193,13,0)</f>
        <v>0</v>
      </c>
      <c r="K110" s="186">
        <f>+VLOOKUP($E110,[1]tb!$B$12:$AC$193,15,0)</f>
        <v>0</v>
      </c>
      <c r="L110" s="186">
        <f>+VLOOKUP($E110,[1]tb!$B$12:$AC$193,17,0)</f>
        <v>0</v>
      </c>
      <c r="M110" s="186">
        <f>+VLOOKUP($E110,[1]tb!$B$12:$AC$193,19,0)</f>
        <v>0</v>
      </c>
      <c r="N110" s="186">
        <f>+VLOOKUP($E110,[1]tb!$B$12:$AC$193,21,0)</f>
        <v>0</v>
      </c>
      <c r="O110" s="186">
        <f>+VLOOKUP($E110,[1]tb!$B$12:$AC$193,23,0)</f>
        <v>0</v>
      </c>
      <c r="P110" s="186">
        <f>+VLOOKUP($E110,[1]tb!$B$12:$AC$193,25,0)</f>
        <v>0</v>
      </c>
      <c r="Q110" s="186">
        <f>+VLOOKUP($E110,[1]tb!$B$12:$AC$193,27,0)</f>
        <v>0</v>
      </c>
      <c r="R110" s="186">
        <f t="shared" si="8"/>
        <v>0</v>
      </c>
    </row>
    <row r="111" spans="1:18" hidden="1">
      <c r="D111" s="204" t="s">
        <v>316</v>
      </c>
      <c r="E111" s="206" t="s">
        <v>94</v>
      </c>
      <c r="F111" s="186">
        <f>+VLOOKUP($E111,[1]tb!$B$12:$AC$193,5,0)</f>
        <v>0</v>
      </c>
      <c r="G111" s="186">
        <f>+VLOOKUP($E111,[1]tb!$B$12:$AC$193,7,0)</f>
        <v>0</v>
      </c>
      <c r="H111" s="186">
        <f>+VLOOKUP($E111,[1]tb!$B$12:$AC$193,9,0)</f>
        <v>0</v>
      </c>
      <c r="I111" s="186">
        <f>+VLOOKUP($E111,[1]tb!$B$12:$AC$193,11,0)</f>
        <v>0</v>
      </c>
      <c r="J111" s="186">
        <f>+VLOOKUP($E111,[1]tb!$B$12:$AC$193,13,0)</f>
        <v>0</v>
      </c>
      <c r="K111" s="186">
        <f>+VLOOKUP($E111,[1]tb!$B$12:$AC$193,15,0)</f>
        <v>0</v>
      </c>
      <c r="L111" s="186">
        <f>+VLOOKUP($E111,[1]tb!$B$12:$AC$193,17,0)</f>
        <v>0</v>
      </c>
      <c r="M111" s="186">
        <f>+VLOOKUP($E111,[1]tb!$B$12:$AC$193,19,0)</f>
        <v>0</v>
      </c>
      <c r="N111" s="186">
        <f>+VLOOKUP($E111,[1]tb!$B$12:$AC$193,21,0)</f>
        <v>0</v>
      </c>
      <c r="O111" s="186">
        <f>+VLOOKUP($E111,[1]tb!$B$12:$AC$193,23,0)</f>
        <v>0</v>
      </c>
      <c r="P111" s="186">
        <f>+VLOOKUP($E111,[1]tb!$B$12:$AC$193,25,0)</f>
        <v>0</v>
      </c>
      <c r="Q111" s="186">
        <f>+VLOOKUP($E111,[1]tb!$B$12:$AC$193,27,0)</f>
        <v>0</v>
      </c>
      <c r="R111" s="186">
        <f t="shared" si="8"/>
        <v>0</v>
      </c>
    </row>
    <row r="112" spans="1:18" ht="5.0999999999999996" customHeight="1"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>
      <c r="C113" s="208" t="s">
        <v>319</v>
      </c>
      <c r="F113" s="209">
        <f>+SUM(F114:F115)</f>
        <v>53527.299999999988</v>
      </c>
      <c r="G113" s="209">
        <f>+SUM(G114:G115)</f>
        <v>275</v>
      </c>
      <c r="H113" s="209">
        <f t="shared" ref="H113:Q113" si="25">+SUM(H114:H115)</f>
        <v>274.99999999998545</v>
      </c>
      <c r="I113" s="209">
        <f t="shared" si="25"/>
        <v>274.99999999998545</v>
      </c>
      <c r="J113" s="209">
        <f t="shared" si="25"/>
        <v>274.99999999998545</v>
      </c>
      <c r="K113" s="209">
        <f t="shared" si="25"/>
        <v>274.99999999998545</v>
      </c>
      <c r="L113" s="209">
        <f t="shared" si="25"/>
        <v>274.99999999998545</v>
      </c>
      <c r="M113" s="209">
        <f t="shared" si="25"/>
        <v>274.99999999998545</v>
      </c>
      <c r="N113" s="209">
        <f t="shared" si="25"/>
        <v>274.99999999998545</v>
      </c>
      <c r="O113" s="209">
        <f t="shared" si="25"/>
        <v>274.99999999998545</v>
      </c>
      <c r="P113" s="209">
        <f t="shared" si="25"/>
        <v>274.99999999998545</v>
      </c>
      <c r="Q113" s="209">
        <f t="shared" si="25"/>
        <v>274.99999999998545</v>
      </c>
      <c r="R113" s="209">
        <f t="shared" si="8"/>
        <v>274.99999999998545</v>
      </c>
    </row>
    <row r="114" spans="1:18">
      <c r="D114" s="204" t="s">
        <v>319</v>
      </c>
      <c r="E114" s="206" t="s">
        <v>97</v>
      </c>
      <c r="F114" s="186">
        <f>+VLOOKUP($E114,[1]tb!$B$12:$AC$193,5,0)</f>
        <v>53527.299999999988</v>
      </c>
      <c r="G114" s="186">
        <f>+VLOOKUP($E114,[1]tb!$B$12:$AC$193,7,0)</f>
        <v>275</v>
      </c>
      <c r="H114" s="186">
        <f>+VLOOKUP($E114,[1]tb!$B$12:$AC$193,9,0)</f>
        <v>274.99999999998545</v>
      </c>
      <c r="I114" s="186">
        <f>+VLOOKUP($E114,[1]tb!$B$12:$AC$193,11,0)</f>
        <v>274.99999999998545</v>
      </c>
      <c r="J114" s="186">
        <f>+VLOOKUP($E114,[1]tb!$B$12:$AC$193,13,0)</f>
        <v>274.99999999998545</v>
      </c>
      <c r="K114" s="186">
        <f>+VLOOKUP($E114,[1]tb!$B$12:$AC$193,15,0)</f>
        <v>274.99999999998545</v>
      </c>
      <c r="L114" s="186">
        <f>+VLOOKUP($E114,[1]tb!$B$12:$AC$193,17,0)</f>
        <v>274.99999999998545</v>
      </c>
      <c r="M114" s="186">
        <f>+VLOOKUP($E114,[1]tb!$B$12:$AC$193,19,0)</f>
        <v>274.99999999998545</v>
      </c>
      <c r="N114" s="186">
        <f>+VLOOKUP($E114,[1]tb!$B$12:$AC$193,21,0)</f>
        <v>274.99999999998545</v>
      </c>
      <c r="O114" s="186">
        <f>+VLOOKUP($E114,[1]tb!$B$12:$AC$193,23,0)</f>
        <v>274.99999999998545</v>
      </c>
      <c r="P114" s="186">
        <f>+VLOOKUP($E114,[1]tb!$B$12:$AC$193,25,0)</f>
        <v>274.99999999998545</v>
      </c>
      <c r="Q114" s="186">
        <f>+VLOOKUP($E114,[1]tb!$B$12:$AC$193,27,0)</f>
        <v>274.99999999998545</v>
      </c>
      <c r="R114" s="186">
        <f t="shared" si="8"/>
        <v>274.99999999998545</v>
      </c>
    </row>
    <row r="115" spans="1:18" ht="5.0999999999999996" customHeight="1"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>
      <c r="D116" s="210" t="s">
        <v>720</v>
      </c>
      <c r="F116" s="211">
        <f>+F113+F105+F101</f>
        <v>830135.89</v>
      </c>
      <c r="G116" s="211">
        <f>+G113+G105+G101</f>
        <v>785538.53</v>
      </c>
      <c r="H116" s="211">
        <f t="shared" ref="H116:Q116" si="26">+H113+H105+H101</f>
        <v>790376.41000000015</v>
      </c>
      <c r="I116" s="211">
        <f t="shared" si="26"/>
        <v>790376.41000000015</v>
      </c>
      <c r="J116" s="211">
        <f t="shared" si="26"/>
        <v>790376.41000000015</v>
      </c>
      <c r="K116" s="211">
        <f t="shared" si="26"/>
        <v>790376.41000000015</v>
      </c>
      <c r="L116" s="211">
        <f t="shared" si="26"/>
        <v>790376.41000000015</v>
      </c>
      <c r="M116" s="211">
        <f t="shared" si="26"/>
        <v>790376.41000000015</v>
      </c>
      <c r="N116" s="211">
        <f t="shared" si="26"/>
        <v>790376.41000000015</v>
      </c>
      <c r="O116" s="211">
        <f t="shared" si="26"/>
        <v>790376.41000000015</v>
      </c>
      <c r="P116" s="211">
        <f t="shared" si="26"/>
        <v>790376.41000000015</v>
      </c>
      <c r="Q116" s="211">
        <f t="shared" si="26"/>
        <v>790376.41000000015</v>
      </c>
      <c r="R116" s="211">
        <f>R101+R105+R113</f>
        <v>790376.41000000015</v>
      </c>
    </row>
    <row r="117" spans="1:18" ht="5.0999999999999996" customHeight="1"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1:18">
      <c r="B118" s="208" t="s">
        <v>721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>
        <f t="shared" ref="R118:R128" si="27">+Q118</f>
        <v>0</v>
      </c>
    </row>
    <row r="119" spans="1:18" ht="5.0999999999999996" customHeight="1"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:18">
      <c r="C120" s="208" t="s">
        <v>317</v>
      </c>
      <c r="F120" s="209">
        <f>+SUM(F121:F123)</f>
        <v>65771.63</v>
      </c>
      <c r="G120" s="209">
        <f>+SUM(G121:G123)</f>
        <v>65771.63</v>
      </c>
      <c r="H120" s="209">
        <f t="shared" ref="H120:Q120" si="28">+SUM(H121:H123)</f>
        <v>65771.63</v>
      </c>
      <c r="I120" s="209">
        <f t="shared" si="28"/>
        <v>65771.63</v>
      </c>
      <c r="J120" s="209">
        <f t="shared" si="28"/>
        <v>65771.63</v>
      </c>
      <c r="K120" s="209">
        <f t="shared" si="28"/>
        <v>65771.63</v>
      </c>
      <c r="L120" s="209">
        <f t="shared" si="28"/>
        <v>65771.63</v>
      </c>
      <c r="M120" s="209">
        <f t="shared" si="28"/>
        <v>65771.63</v>
      </c>
      <c r="N120" s="209">
        <f t="shared" si="28"/>
        <v>65771.63</v>
      </c>
      <c r="O120" s="209">
        <f t="shared" si="28"/>
        <v>65771.63</v>
      </c>
      <c r="P120" s="209">
        <f t="shared" si="28"/>
        <v>65771.63</v>
      </c>
      <c r="Q120" s="209">
        <f t="shared" si="28"/>
        <v>65771.63</v>
      </c>
      <c r="R120" s="209">
        <f t="shared" si="27"/>
        <v>65771.63</v>
      </c>
    </row>
    <row r="121" spans="1:18">
      <c r="D121" s="204" t="s">
        <v>317</v>
      </c>
      <c r="E121" s="206" t="s">
        <v>95</v>
      </c>
      <c r="F121" s="186">
        <f>+VLOOKUP($E121,[1]tb!$B$12:$AC$193,5,0)</f>
        <v>0</v>
      </c>
      <c r="G121" s="186">
        <f>+VLOOKUP($E121,[1]tb!$B$12:$AC$193,7,0)</f>
        <v>0</v>
      </c>
      <c r="H121" s="186">
        <f>+VLOOKUP($E121,[1]tb!$B$12:$AC$193,9,0)</f>
        <v>0</v>
      </c>
      <c r="I121" s="186">
        <f>+VLOOKUP($E121,[1]tb!$B$12:$AC$193,11,0)</f>
        <v>0</v>
      </c>
      <c r="J121" s="186">
        <f>+VLOOKUP($E121,[1]tb!$B$12:$AC$193,13,0)</f>
        <v>0</v>
      </c>
      <c r="K121" s="186">
        <f>+VLOOKUP($E121,[1]tb!$B$12:$AC$193,15,0)</f>
        <v>0</v>
      </c>
      <c r="L121" s="186">
        <f>+VLOOKUP($E121,[1]tb!$B$12:$AC$193,17,0)</f>
        <v>0</v>
      </c>
      <c r="M121" s="186">
        <f>+VLOOKUP($E121,[1]tb!$B$12:$AC$193,19,0)</f>
        <v>0</v>
      </c>
      <c r="N121" s="186">
        <f>+VLOOKUP($E121,[1]tb!$B$12:$AC$193,21,0)</f>
        <v>0</v>
      </c>
      <c r="O121" s="186">
        <f>+VLOOKUP($E121,[1]tb!$B$12:$AC$193,23,0)</f>
        <v>0</v>
      </c>
      <c r="P121" s="186">
        <f>+VLOOKUP($E121,[1]tb!$B$12:$AC$193,25,0)</f>
        <v>0</v>
      </c>
      <c r="Q121" s="186">
        <f>+VLOOKUP($E121,[1]tb!$B$12:$AC$193,27,0)</f>
        <v>0</v>
      </c>
      <c r="R121" s="186">
        <f t="shared" si="27"/>
        <v>0</v>
      </c>
    </row>
    <row r="122" spans="1:18">
      <c r="D122" s="204" t="s">
        <v>318</v>
      </c>
      <c r="E122" s="206" t="s">
        <v>96</v>
      </c>
      <c r="F122" s="186">
        <f>+VLOOKUP($E122,[1]tb!$B$12:$AC$193,5,0)</f>
        <v>65771.63</v>
      </c>
      <c r="G122" s="186">
        <f>+VLOOKUP($E122,[1]tb!$B$12:$AC$193,7,0)</f>
        <v>65771.63</v>
      </c>
      <c r="H122" s="186">
        <f>+VLOOKUP($E122,[1]tb!$B$12:$AC$193,9,0)</f>
        <v>65771.63</v>
      </c>
      <c r="I122" s="186">
        <f>+VLOOKUP($E122,[1]tb!$B$12:$AC$193,11,0)</f>
        <v>65771.63</v>
      </c>
      <c r="J122" s="186">
        <f>+VLOOKUP($E122,[1]tb!$B$12:$AC$193,13,0)</f>
        <v>65771.63</v>
      </c>
      <c r="K122" s="186">
        <f>+VLOOKUP($E122,[1]tb!$B$12:$AC$193,15,0)</f>
        <v>65771.63</v>
      </c>
      <c r="L122" s="186">
        <f>+VLOOKUP($E122,[1]tb!$B$12:$AC$193,17,0)</f>
        <v>65771.63</v>
      </c>
      <c r="M122" s="186">
        <f>+VLOOKUP($E122,[1]tb!$B$12:$AC$193,19,0)</f>
        <v>65771.63</v>
      </c>
      <c r="N122" s="186">
        <f>+VLOOKUP($E122,[1]tb!$B$12:$AC$193,21,0)</f>
        <v>65771.63</v>
      </c>
      <c r="O122" s="186">
        <f>+VLOOKUP($E122,[1]tb!$B$12:$AC$193,23,0)</f>
        <v>65771.63</v>
      </c>
      <c r="P122" s="186">
        <f>+VLOOKUP($E122,[1]tb!$B$12:$AC$193,25,0)</f>
        <v>65771.63</v>
      </c>
      <c r="Q122" s="186">
        <f>+VLOOKUP($E122,[1]tb!$B$12:$AC$193,27,0)</f>
        <v>65771.63</v>
      </c>
      <c r="R122" s="186">
        <f t="shared" si="27"/>
        <v>65771.63</v>
      </c>
    </row>
    <row r="123" spans="1:18" ht="5.0999999999999996" customHeight="1"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1:18">
      <c r="D124" s="210" t="s">
        <v>722</v>
      </c>
      <c r="F124" s="211">
        <f>+F120</f>
        <v>65771.63</v>
      </c>
      <c r="G124" s="211">
        <f>+G120</f>
        <v>65771.63</v>
      </c>
      <c r="H124" s="211">
        <f t="shared" ref="H124:Q124" si="29">+H120</f>
        <v>65771.63</v>
      </c>
      <c r="I124" s="211">
        <f t="shared" si="29"/>
        <v>65771.63</v>
      </c>
      <c r="J124" s="211">
        <f t="shared" si="29"/>
        <v>65771.63</v>
      </c>
      <c r="K124" s="211">
        <f t="shared" si="29"/>
        <v>65771.63</v>
      </c>
      <c r="L124" s="211">
        <f t="shared" si="29"/>
        <v>65771.63</v>
      </c>
      <c r="M124" s="211">
        <f t="shared" si="29"/>
        <v>65771.63</v>
      </c>
      <c r="N124" s="211">
        <f t="shared" si="29"/>
        <v>65771.63</v>
      </c>
      <c r="O124" s="211">
        <f t="shared" si="29"/>
        <v>65771.63</v>
      </c>
      <c r="P124" s="211">
        <f t="shared" si="29"/>
        <v>65771.63</v>
      </c>
      <c r="Q124" s="211">
        <f t="shared" si="29"/>
        <v>65771.63</v>
      </c>
      <c r="R124" s="211">
        <f t="shared" si="27"/>
        <v>65771.63</v>
      </c>
    </row>
    <row r="125" spans="1:18" ht="5.0999999999999996" customHeight="1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1:18">
      <c r="D126" s="210" t="s">
        <v>723</v>
      </c>
      <c r="F126" s="209">
        <f>+F124+F116</f>
        <v>895907.52</v>
      </c>
      <c r="G126" s="209">
        <f>+G124+G116</f>
        <v>851310.16</v>
      </c>
      <c r="H126" s="209">
        <f t="shared" ref="H126:Q126" si="30">+H124+H116</f>
        <v>856148.04000000015</v>
      </c>
      <c r="I126" s="209">
        <f t="shared" si="30"/>
        <v>856148.04000000015</v>
      </c>
      <c r="J126" s="209">
        <f t="shared" si="30"/>
        <v>856148.04000000015</v>
      </c>
      <c r="K126" s="209">
        <f t="shared" si="30"/>
        <v>856148.04000000015</v>
      </c>
      <c r="L126" s="209">
        <f t="shared" si="30"/>
        <v>856148.04000000015</v>
      </c>
      <c r="M126" s="209">
        <f t="shared" si="30"/>
        <v>856148.04000000015</v>
      </c>
      <c r="N126" s="209">
        <f t="shared" si="30"/>
        <v>856148.04000000015</v>
      </c>
      <c r="O126" s="209">
        <f t="shared" si="30"/>
        <v>856148.04000000015</v>
      </c>
      <c r="P126" s="209">
        <f t="shared" si="30"/>
        <v>856148.04000000015</v>
      </c>
      <c r="Q126" s="209">
        <f t="shared" si="30"/>
        <v>856148.04000000015</v>
      </c>
      <c r="R126" s="209">
        <f>R116+R120</f>
        <v>856148.04000000015</v>
      </c>
    </row>
    <row r="127" spans="1:18" ht="5.0999999999999996" customHeight="1"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1:18">
      <c r="A128" s="208" t="s">
        <v>724</v>
      </c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>
        <f t="shared" si="27"/>
        <v>0</v>
      </c>
    </row>
    <row r="129" spans="4:19" s="216" customFormat="1">
      <c r="D129" s="216" t="s">
        <v>320</v>
      </c>
      <c r="E129" s="217" t="s">
        <v>98</v>
      </c>
      <c r="F129" s="218">
        <f>+VLOOKUP($E129,[1]tb!$B$12:$AC$193,5,0)</f>
        <v>29148759.349999998</v>
      </c>
      <c r="G129" s="218">
        <f>+VLOOKUP($E129,[1]tb!$B$12:$AC$193,7,0)</f>
        <v>29159126.679999996</v>
      </c>
      <c r="H129" s="218">
        <f>+VLOOKUP($E129,[1]tb!$B$12:$AC$193,9,0)</f>
        <v>29190438.419999998</v>
      </c>
      <c r="I129" s="218">
        <f>+VLOOKUP($E129,[1]tb!$B$12:$AC$193,11,0)</f>
        <v>29190438.419999998</v>
      </c>
      <c r="J129" s="218">
        <f>+VLOOKUP($E129,[1]tb!$B$12:$AC$193,13,0)</f>
        <v>29190438.419999998</v>
      </c>
      <c r="K129" s="218">
        <f>+VLOOKUP($E129,[1]tb!$B$12:$AC$193,15,0)</f>
        <v>29190438.419999998</v>
      </c>
      <c r="L129" s="218">
        <f>+VLOOKUP($E129,[1]tb!$B$12:$AC$193,17,0)</f>
        <v>29190438.419999998</v>
      </c>
      <c r="M129" s="218">
        <f>+VLOOKUP($E129,[1]tb!$B$12:$AC$193,19,0)</f>
        <v>29190438.419999998</v>
      </c>
      <c r="N129" s="218">
        <f>+VLOOKUP($E129,[1]tb!$B$12:$AC$193,21,0)</f>
        <v>29190438.419999998</v>
      </c>
      <c r="O129" s="218">
        <f>+VLOOKUP($E129,[1]tb!$B$12:$AC$193,23,0)</f>
        <v>29190438.419999998</v>
      </c>
      <c r="P129" s="218">
        <f>+VLOOKUP($E129,[1]tb!$B$12:$AC$193,25,0)</f>
        <v>29190438.419999998</v>
      </c>
      <c r="Q129" s="218">
        <f>+VLOOKUP($E129,[1]tb!$B$12:$AC$193,27,0)</f>
        <v>29190438.419999998</v>
      </c>
      <c r="R129" s="218">
        <f>((+Q129)+808803.640000004)-1271501</f>
        <v>28727741.060000002</v>
      </c>
    </row>
    <row r="130" spans="4:19" ht="5.0999999999999996" customHeight="1"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4:19">
      <c r="D131" s="210" t="s">
        <v>725</v>
      </c>
      <c r="F131" s="209">
        <f>+F129</f>
        <v>29148759.349999998</v>
      </c>
      <c r="G131" s="209">
        <f>+G129</f>
        <v>29159126.679999996</v>
      </c>
      <c r="H131" s="209">
        <f t="shared" ref="H131:Q131" si="31">+H129</f>
        <v>29190438.419999998</v>
      </c>
      <c r="I131" s="209">
        <f t="shared" si="31"/>
        <v>29190438.419999998</v>
      </c>
      <c r="J131" s="209">
        <f t="shared" si="31"/>
        <v>29190438.419999998</v>
      </c>
      <c r="K131" s="209">
        <f t="shared" si="31"/>
        <v>29190438.419999998</v>
      </c>
      <c r="L131" s="209">
        <f t="shared" si="31"/>
        <v>29190438.419999998</v>
      </c>
      <c r="M131" s="209">
        <f t="shared" si="31"/>
        <v>29190438.419999998</v>
      </c>
      <c r="N131" s="209">
        <f t="shared" si="31"/>
        <v>29190438.419999998</v>
      </c>
      <c r="O131" s="209">
        <f t="shared" si="31"/>
        <v>29190438.419999998</v>
      </c>
      <c r="P131" s="209">
        <f t="shared" si="31"/>
        <v>29190438.419999998</v>
      </c>
      <c r="Q131" s="209">
        <f t="shared" si="31"/>
        <v>29190438.419999998</v>
      </c>
      <c r="R131" s="209">
        <f>R129</f>
        <v>28727741.060000002</v>
      </c>
    </row>
    <row r="132" spans="4:19" ht="5.0999999999999996" customHeight="1"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4:19" ht="12.75" thickBot="1">
      <c r="D133" s="210" t="s">
        <v>726</v>
      </c>
      <c r="F133" s="214">
        <f>+F131+F126</f>
        <v>30044666.869999997</v>
      </c>
      <c r="G133" s="214">
        <f>+G131+G126</f>
        <v>30010436.839999996</v>
      </c>
      <c r="H133" s="214">
        <f t="shared" ref="H133:Q133" si="32">+H131+H126</f>
        <v>30046586.459999997</v>
      </c>
      <c r="I133" s="214">
        <f t="shared" si="32"/>
        <v>30046586.459999997</v>
      </c>
      <c r="J133" s="214">
        <f t="shared" si="32"/>
        <v>30046586.459999997</v>
      </c>
      <c r="K133" s="214">
        <f t="shared" si="32"/>
        <v>30046586.459999997</v>
      </c>
      <c r="L133" s="214">
        <f t="shared" si="32"/>
        <v>30046586.459999997</v>
      </c>
      <c r="M133" s="214">
        <f t="shared" si="32"/>
        <v>30046586.459999997</v>
      </c>
      <c r="N133" s="214">
        <f t="shared" si="32"/>
        <v>30046586.459999997</v>
      </c>
      <c r="O133" s="214">
        <f t="shared" si="32"/>
        <v>30046586.459999997</v>
      </c>
      <c r="P133" s="214">
        <f t="shared" si="32"/>
        <v>30046586.459999997</v>
      </c>
      <c r="Q133" s="214">
        <f t="shared" si="32"/>
        <v>30046586.459999997</v>
      </c>
      <c r="R133" s="214">
        <f>R131+R126</f>
        <v>29583889.100000001</v>
      </c>
    </row>
    <row r="134" spans="4:19" ht="12.75" thickTop="1"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15"/>
    </row>
    <row r="135" spans="4:19"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15">
        <f>R95-R133</f>
        <v>0</v>
      </c>
    </row>
    <row r="136" spans="4:19"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215"/>
    </row>
    <row r="137" spans="4:19">
      <c r="D137" s="259" t="s">
        <v>506</v>
      </c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215"/>
    </row>
    <row r="138" spans="4:19">
      <c r="D138" s="259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4:19">
      <c r="D139" s="259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4:19">
      <c r="D140" s="210" t="s">
        <v>507</v>
      </c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4:19">
      <c r="D141" s="259" t="s">
        <v>508</v>
      </c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4:19"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4:19"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4:19"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6:18"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6:18"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  <row r="147" spans="6:18"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6:18"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6:18"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6:18"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6:18"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6:18"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6:18"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  <row r="154" spans="6:18"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</row>
    <row r="155" spans="6:18"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</row>
    <row r="156" spans="6:18"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6:18"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</row>
    <row r="158" spans="6:18"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</row>
    <row r="159" spans="6:18"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6:18"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6:18"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6:18"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6:18"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</row>
    <row r="164" spans="6:18"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6:18"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6:18"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6:18"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</row>
    <row r="168" spans="6:18"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</row>
    <row r="169" spans="6:18"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</row>
    <row r="170" spans="6:18"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6:18"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6:18"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</row>
    <row r="173" spans="6:18"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</row>
    <row r="174" spans="6:18"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</row>
    <row r="175" spans="6:18"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</row>
    <row r="176" spans="6:18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</row>
    <row r="177" spans="6:18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</row>
    <row r="178" spans="6:18"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</row>
    <row r="179" spans="6:18"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</row>
    <row r="180" spans="6:18"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</row>
    <row r="181" spans="6:18"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</row>
    <row r="182" spans="6:18"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</row>
    <row r="183" spans="6:18"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</row>
    <row r="184" spans="6:18"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6:18"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</row>
    <row r="186" spans="6:18"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</row>
    <row r="187" spans="6:18"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</row>
    <row r="188" spans="6:18"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</row>
    <row r="189" spans="6:18"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</row>
    <row r="190" spans="6:18"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</row>
    <row r="191" spans="6:18"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</row>
    <row r="192" spans="6:18"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6:18"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</row>
    <row r="194" spans="6:18"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</row>
    <row r="195" spans="6:18"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</row>
    <row r="196" spans="6:18"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</row>
    <row r="197" spans="6:18"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</row>
    <row r="198" spans="6:18"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</row>
    <row r="199" spans="6:18"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</row>
    <row r="200" spans="6:18"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</row>
    <row r="201" spans="6:18"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</row>
    <row r="202" spans="6:18"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6:18"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</row>
    <row r="204" spans="6:18"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</row>
    <row r="205" spans="6:18"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</row>
    <row r="206" spans="6:18"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</row>
    <row r="207" spans="6:18"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</row>
    <row r="208" spans="6:18"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</row>
    <row r="209" spans="6:18"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</row>
    <row r="210" spans="6:18"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</row>
    <row r="211" spans="6:18"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6:18"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</row>
    <row r="213" spans="6:18"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</row>
    <row r="214" spans="6:18"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</row>
    <row r="215" spans="6:18"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</row>
    <row r="216" spans="6:18"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6:18"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</row>
    <row r="218" spans="6:18"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</row>
    <row r="219" spans="6:18"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</row>
    <row r="220" spans="6:18"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</row>
    <row r="221" spans="6:18"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</row>
    <row r="222" spans="6:18"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</row>
    <row r="223" spans="6:18"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</row>
    <row r="224" spans="6:18"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</row>
    <row r="225" spans="6:18"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</row>
    <row r="226" spans="6:18"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</row>
    <row r="227" spans="6:18"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</row>
    <row r="228" spans="6:18"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</row>
    <row r="229" spans="6:18"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</row>
    <row r="230" spans="6:18"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</row>
    <row r="231" spans="6:18"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</row>
  </sheetData>
  <mergeCells count="5">
    <mergeCell ref="A1:R1"/>
    <mergeCell ref="A2:R2"/>
    <mergeCell ref="A3:R3"/>
    <mergeCell ref="A5:R5"/>
    <mergeCell ref="A6:R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31"/>
  <sheetViews>
    <sheetView topLeftCell="A50" workbookViewId="0">
      <selection activeCell="D137" sqref="D137:D141"/>
    </sheetView>
  </sheetViews>
  <sheetFormatPr defaultRowHeight="12" outlineLevelCol="1"/>
  <cols>
    <col min="1" max="3" width="3.7109375" style="204" customWidth="1"/>
    <col min="4" max="4" width="60.7109375" style="204" customWidth="1"/>
    <col min="5" max="5" width="1.7109375" style="206" customWidth="1"/>
    <col min="6" max="17" width="15.7109375" style="204" hidden="1" customWidth="1" outlineLevel="1"/>
    <col min="18" max="18" width="15.7109375" style="204" customWidth="1" collapsed="1"/>
    <col min="19" max="19" width="12" style="204" bestFit="1" customWidth="1"/>
    <col min="20" max="16384" width="9.140625" style="204"/>
  </cols>
  <sheetData>
    <row r="1" spans="1:18">
      <c r="A1" s="320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321" t="s">
        <v>668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>
      <c r="A3" s="320" t="s">
        <v>669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5.0999999999999996" customHeight="1">
      <c r="A4" s="205"/>
      <c r="B4" s="205"/>
      <c r="C4" s="205"/>
      <c r="D4" s="205"/>
    </row>
    <row r="5" spans="1:18">
      <c r="A5" s="320" t="s">
        <v>727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5.0999999999999996" customHeight="1"/>
    <row r="8" spans="1:18">
      <c r="F8" s="207">
        <v>42400</v>
      </c>
      <c r="G8" s="207">
        <v>42429</v>
      </c>
      <c r="H8" s="207">
        <v>42460</v>
      </c>
      <c r="I8" s="207">
        <v>42490</v>
      </c>
      <c r="J8" s="207">
        <v>42521</v>
      </c>
      <c r="K8" s="207">
        <v>42551</v>
      </c>
      <c r="L8" s="207">
        <v>42582</v>
      </c>
      <c r="M8" s="207">
        <v>42613</v>
      </c>
      <c r="N8" s="207">
        <v>42643</v>
      </c>
      <c r="O8" s="207">
        <v>42674</v>
      </c>
      <c r="P8" s="207">
        <v>42704</v>
      </c>
      <c r="Q8" s="207">
        <v>42735</v>
      </c>
    </row>
    <row r="9" spans="1:18">
      <c r="A9" s="208" t="s">
        <v>704</v>
      </c>
    </row>
    <row r="10" spans="1:18">
      <c r="B10" s="208" t="s">
        <v>705</v>
      </c>
    </row>
    <row r="11" spans="1:18" ht="5.0999999999999996" customHeight="1">
      <c r="B11" s="2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>
      <c r="C12" s="208" t="s">
        <v>706</v>
      </c>
      <c r="F12" s="209">
        <f>+SUM(F13:F22)</f>
        <v>1331902.9900000002</v>
      </c>
      <c r="G12" s="209">
        <f>+SUM(G13:G22)</f>
        <v>1832825.7100000004</v>
      </c>
      <c r="H12" s="209">
        <f t="shared" ref="H12:Q12" si="0">+SUM(H13:H22)</f>
        <v>1974064.8700000006</v>
      </c>
      <c r="I12" s="209">
        <f t="shared" si="0"/>
        <v>1974064.8700000006</v>
      </c>
      <c r="J12" s="209">
        <f t="shared" si="0"/>
        <v>1974064.8700000006</v>
      </c>
      <c r="K12" s="209">
        <f t="shared" si="0"/>
        <v>1974064.8700000006</v>
      </c>
      <c r="L12" s="209">
        <f t="shared" si="0"/>
        <v>1974064.8700000006</v>
      </c>
      <c r="M12" s="209">
        <f t="shared" si="0"/>
        <v>1974064.8700000006</v>
      </c>
      <c r="N12" s="209">
        <f t="shared" si="0"/>
        <v>1974064.8700000006</v>
      </c>
      <c r="O12" s="209">
        <f t="shared" si="0"/>
        <v>1974064.8700000006</v>
      </c>
      <c r="P12" s="209">
        <f t="shared" si="0"/>
        <v>1974064.8700000006</v>
      </c>
      <c r="Q12" s="209">
        <f t="shared" si="0"/>
        <v>1974064.8700000006</v>
      </c>
      <c r="R12" s="209">
        <f>SUM(R13:R21)</f>
        <v>702563.87000000046</v>
      </c>
    </row>
    <row r="13" spans="1:18">
      <c r="D13" s="204" t="s">
        <v>232</v>
      </c>
      <c r="E13" s="206" t="s">
        <v>10</v>
      </c>
      <c r="F13" s="186">
        <f>+VLOOKUP($E13,[1]tb!$B$12:$AC$193,4,0)</f>
        <v>150</v>
      </c>
      <c r="G13" s="186">
        <f>+VLOOKUP($E13,[1]tb!$B$12:$AC$193,6,0)</f>
        <v>105</v>
      </c>
      <c r="H13" s="186">
        <f>+VLOOKUP($E13,[1]tb!$B$12:$AC$193,8,0)</f>
        <v>105</v>
      </c>
      <c r="I13" s="186">
        <f>+VLOOKUP($E13,[1]tb!$B$12:$AC$193,10,0)</f>
        <v>105</v>
      </c>
      <c r="J13" s="186">
        <f>+VLOOKUP($E13,[1]tb!$B$12:$AC$193,12,0)</f>
        <v>105</v>
      </c>
      <c r="K13" s="186">
        <f>+VLOOKUP($E13,[1]tb!$B$12:$AC$193,14,0)</f>
        <v>105</v>
      </c>
      <c r="L13" s="186">
        <f>+VLOOKUP($E13,[1]tb!$B$12:$AC$193,16,0)</f>
        <v>105</v>
      </c>
      <c r="M13" s="186">
        <f>+VLOOKUP($E13,[1]tb!$B$12:$AC$193,18,0)</f>
        <v>105</v>
      </c>
      <c r="N13" s="186">
        <f>+VLOOKUP($E13,[1]tb!$B$12:$AC$193,20,0)</f>
        <v>105</v>
      </c>
      <c r="O13" s="186">
        <f>+VLOOKUP($E13,[1]tb!$B$12:$AC$193,22,0)</f>
        <v>105</v>
      </c>
      <c r="P13" s="186">
        <f>+VLOOKUP($E13,[1]tb!$B$12:$AC$193,24,0)</f>
        <v>105</v>
      </c>
      <c r="Q13" s="186">
        <f>+VLOOKUP($E13,[1]tb!$B$12:$AC$193,26,0)</f>
        <v>105</v>
      </c>
      <c r="R13" s="186">
        <f t="shared" ref="R13:R21" si="1">+Q13</f>
        <v>105</v>
      </c>
    </row>
    <row r="14" spans="1:18">
      <c r="D14" s="204" t="s">
        <v>233</v>
      </c>
      <c r="E14" s="206" t="s">
        <v>11</v>
      </c>
      <c r="F14" s="186">
        <f>+VLOOKUP($E14,[1]tb!$B$12:$AC$193,4,0)</f>
        <v>0</v>
      </c>
      <c r="G14" s="186">
        <f>+VLOOKUP($E14,[1]tb!$B$12:$AC$193,6,0)</f>
        <v>0</v>
      </c>
      <c r="H14" s="186">
        <f>+VLOOKUP($E14,[1]tb!$B$12:$AC$193,8,0)</f>
        <v>40000</v>
      </c>
      <c r="I14" s="186">
        <f>+VLOOKUP($E14,[1]tb!$B$12:$AC$193,10,0)</f>
        <v>40000</v>
      </c>
      <c r="J14" s="186">
        <f>+VLOOKUP($E14,[1]tb!$B$12:$AC$193,12,0)</f>
        <v>40000</v>
      </c>
      <c r="K14" s="186">
        <f>+VLOOKUP($E14,[1]tb!$B$12:$AC$193,14,0)</f>
        <v>40000</v>
      </c>
      <c r="L14" s="186">
        <f>+VLOOKUP($E14,[1]tb!$B$12:$AC$193,16,0)</f>
        <v>40000</v>
      </c>
      <c r="M14" s="186">
        <f>+VLOOKUP($E14,[1]tb!$B$12:$AC$193,18,0)</f>
        <v>40000</v>
      </c>
      <c r="N14" s="186">
        <f>+VLOOKUP($E14,[1]tb!$B$12:$AC$193,20,0)</f>
        <v>40000</v>
      </c>
      <c r="O14" s="186">
        <f>+VLOOKUP($E14,[1]tb!$B$12:$AC$193,22,0)</f>
        <v>40000</v>
      </c>
      <c r="P14" s="186">
        <f>+VLOOKUP($E14,[1]tb!$B$12:$AC$193,24,0)</f>
        <v>40000</v>
      </c>
      <c r="Q14" s="186">
        <f>+VLOOKUP($E14,[1]tb!$B$12:$AC$193,26,0)</f>
        <v>40000</v>
      </c>
      <c r="R14" s="186">
        <f t="shared" si="1"/>
        <v>40000</v>
      </c>
    </row>
    <row r="15" spans="1:18">
      <c r="D15" s="204" t="s">
        <v>234</v>
      </c>
      <c r="E15" s="206" t="s">
        <v>12</v>
      </c>
      <c r="F15" s="186">
        <f>+VLOOKUP($E15,[1]tb!$B$12:$AC$193,4,0)</f>
        <v>662458.87</v>
      </c>
      <c r="G15" s="186">
        <f>+VLOOKUP($E15,[1]tb!$B$12:$AC$193,6,0)</f>
        <v>662458.87</v>
      </c>
      <c r="H15" s="186">
        <f>+VLOOKUP($E15,[1]tb!$B$12:$AC$193,8,0)</f>
        <v>662458.87</v>
      </c>
      <c r="I15" s="186">
        <f>+VLOOKUP($E15,[1]tb!$B$12:$AC$193,10,0)</f>
        <v>662458.87</v>
      </c>
      <c r="J15" s="186">
        <f>+VLOOKUP($E15,[1]tb!$B$12:$AC$193,12,0)</f>
        <v>662458.87</v>
      </c>
      <c r="K15" s="186">
        <f>+VLOOKUP($E15,[1]tb!$B$12:$AC$193,14,0)</f>
        <v>662458.87</v>
      </c>
      <c r="L15" s="186">
        <f>+VLOOKUP($E15,[1]tb!$B$12:$AC$193,16,0)</f>
        <v>662458.87</v>
      </c>
      <c r="M15" s="186">
        <f>+VLOOKUP($E15,[1]tb!$B$12:$AC$193,18,0)</f>
        <v>662458.87</v>
      </c>
      <c r="N15" s="186">
        <f>+VLOOKUP($E15,[1]tb!$B$12:$AC$193,20,0)</f>
        <v>662458.87</v>
      </c>
      <c r="O15" s="186">
        <f>+VLOOKUP($E15,[1]tb!$B$12:$AC$193,22,0)</f>
        <v>662458.87</v>
      </c>
      <c r="P15" s="186">
        <f>+VLOOKUP($E15,[1]tb!$B$12:$AC$193,24,0)</f>
        <v>662458.87</v>
      </c>
      <c r="Q15" s="186">
        <f>+VLOOKUP($E15,[1]tb!$B$12:$AC$193,26,0)</f>
        <v>662458.87</v>
      </c>
      <c r="R15" s="186">
        <f t="shared" si="1"/>
        <v>662458.87</v>
      </c>
    </row>
    <row r="16" spans="1:18" hidden="1">
      <c r="D16" s="204" t="s">
        <v>235</v>
      </c>
      <c r="E16" s="206" t="s">
        <v>13</v>
      </c>
      <c r="F16" s="186">
        <f>+VLOOKUP($E16,[1]tb!$B$12:$AC$193,4,0)</f>
        <v>403315</v>
      </c>
      <c r="G16" s="186">
        <f>+VLOOKUP($E16,[1]tb!$B$12:$AC$193,6,0)</f>
        <v>832741</v>
      </c>
      <c r="H16" s="186">
        <f>+VLOOKUP($E16,[1]tb!$B$12:$AC$193,8,0)</f>
        <v>1271501</v>
      </c>
      <c r="I16" s="186">
        <f>+VLOOKUP($E16,[1]tb!$B$12:$AC$193,10,0)</f>
        <v>1271501</v>
      </c>
      <c r="J16" s="186">
        <f>+VLOOKUP($E16,[1]tb!$B$12:$AC$193,12,0)</f>
        <v>1271501</v>
      </c>
      <c r="K16" s="186">
        <f>+VLOOKUP($E16,[1]tb!$B$12:$AC$193,14,0)</f>
        <v>1271501</v>
      </c>
      <c r="L16" s="186">
        <f>+VLOOKUP($E16,[1]tb!$B$12:$AC$193,16,0)</f>
        <v>1271501</v>
      </c>
      <c r="M16" s="186">
        <f>+VLOOKUP($E16,[1]tb!$B$12:$AC$193,18,0)</f>
        <v>1271501</v>
      </c>
      <c r="N16" s="186">
        <f>+VLOOKUP($E16,[1]tb!$B$12:$AC$193,20,0)</f>
        <v>1271501</v>
      </c>
      <c r="O16" s="186">
        <f>+VLOOKUP($E16,[1]tb!$B$12:$AC$193,22,0)</f>
        <v>1271501</v>
      </c>
      <c r="P16" s="186">
        <f>+VLOOKUP($E16,[1]tb!$B$12:$AC$193,24,0)</f>
        <v>1271501</v>
      </c>
      <c r="Q16" s="186">
        <f>+VLOOKUP($E16,[1]tb!$B$12:$AC$193,26,0)</f>
        <v>1271501</v>
      </c>
      <c r="R16" s="186"/>
    </row>
    <row r="17" spans="3:18" hidden="1">
      <c r="D17" s="204" t="s">
        <v>236</v>
      </c>
      <c r="E17" s="206" t="s">
        <v>14</v>
      </c>
      <c r="F17" s="186">
        <f>+VLOOKUP($E17,[1]tb!$B$12:$AC$193,4,0)</f>
        <v>0</v>
      </c>
      <c r="G17" s="186">
        <f>+VLOOKUP($E17,[1]tb!$B$12:$AC$193,6,0)</f>
        <v>0</v>
      </c>
      <c r="H17" s="186">
        <f>+VLOOKUP($E17,[1]tb!$B$12:$AC$193,8,0)</f>
        <v>0</v>
      </c>
      <c r="I17" s="186">
        <f>+VLOOKUP($E17,[1]tb!$B$12:$AC$193,10,0)</f>
        <v>0</v>
      </c>
      <c r="J17" s="186">
        <f>+VLOOKUP($E17,[1]tb!$B$12:$AC$193,12,0)</f>
        <v>0</v>
      </c>
      <c r="K17" s="186">
        <f>+VLOOKUP($E17,[1]tb!$B$12:$AC$193,14,0)</f>
        <v>0</v>
      </c>
      <c r="L17" s="186">
        <f>+VLOOKUP($E17,[1]tb!$B$12:$AC$193,16,0)</f>
        <v>0</v>
      </c>
      <c r="M17" s="186">
        <f>+VLOOKUP($E17,[1]tb!$B$12:$AC$193,18,0)</f>
        <v>0</v>
      </c>
      <c r="N17" s="186">
        <f>+VLOOKUP($E17,[1]tb!$B$12:$AC$193,20,0)</f>
        <v>0</v>
      </c>
      <c r="O17" s="186">
        <f>+VLOOKUP($E17,[1]tb!$B$12:$AC$193,22,0)</f>
        <v>0</v>
      </c>
      <c r="P17" s="186">
        <f>+VLOOKUP($E17,[1]tb!$B$12:$AC$193,24,0)</f>
        <v>0</v>
      </c>
      <c r="Q17" s="186">
        <f>+VLOOKUP($E17,[1]tb!$B$12:$AC$193,26,0)</f>
        <v>0</v>
      </c>
      <c r="R17" s="186">
        <f t="shared" si="1"/>
        <v>0</v>
      </c>
    </row>
    <row r="18" spans="3:18" hidden="1">
      <c r="D18" s="204" t="s">
        <v>237</v>
      </c>
      <c r="E18" s="206" t="s">
        <v>15</v>
      </c>
      <c r="F18" s="186">
        <f>+VLOOKUP($E18,[1]tb!$B$12:$AC$193,4,0)</f>
        <v>0</v>
      </c>
      <c r="G18" s="186">
        <f>+VLOOKUP($E18,[1]tb!$B$12:$AC$193,6,0)</f>
        <v>0</v>
      </c>
      <c r="H18" s="186">
        <f>+VLOOKUP($E18,[1]tb!$B$12:$AC$193,8,0)</f>
        <v>0</v>
      </c>
      <c r="I18" s="186">
        <f>+VLOOKUP($E18,[1]tb!$B$12:$AC$193,10,0)</f>
        <v>0</v>
      </c>
      <c r="J18" s="186">
        <f>+VLOOKUP($E18,[1]tb!$B$12:$AC$193,12,0)</f>
        <v>0</v>
      </c>
      <c r="K18" s="186">
        <f>+VLOOKUP($E18,[1]tb!$B$12:$AC$193,14,0)</f>
        <v>0</v>
      </c>
      <c r="L18" s="186">
        <f>+VLOOKUP($E18,[1]tb!$B$12:$AC$193,16,0)</f>
        <v>0</v>
      </c>
      <c r="M18" s="186">
        <f>+VLOOKUP($E18,[1]tb!$B$12:$AC$193,18,0)</f>
        <v>0</v>
      </c>
      <c r="N18" s="186">
        <f>+VLOOKUP($E18,[1]tb!$B$12:$AC$193,20,0)</f>
        <v>0</v>
      </c>
      <c r="O18" s="186">
        <f>+VLOOKUP($E18,[1]tb!$B$12:$AC$193,22,0)</f>
        <v>0</v>
      </c>
      <c r="P18" s="186">
        <f>+VLOOKUP($E18,[1]tb!$B$12:$AC$193,24,0)</f>
        <v>0</v>
      </c>
      <c r="Q18" s="186">
        <f>+VLOOKUP($E18,[1]tb!$B$12:$AC$193,26,0)</f>
        <v>0</v>
      </c>
      <c r="R18" s="186">
        <f t="shared" si="1"/>
        <v>0</v>
      </c>
    </row>
    <row r="19" spans="3:18" hidden="1">
      <c r="D19" s="204" t="s">
        <v>238</v>
      </c>
      <c r="E19" s="206" t="s">
        <v>16</v>
      </c>
      <c r="F19" s="186">
        <f>+VLOOKUP($E19,[1]tb!$B$12:$AC$193,4,0)</f>
        <v>265979.12000000011</v>
      </c>
      <c r="G19" s="186">
        <f>+VLOOKUP($E19,[1]tb!$B$12:$AC$193,6,0)</f>
        <v>337520.84000000032</v>
      </c>
      <c r="H19" s="186">
        <f>+VLOOKUP($E19,[1]tb!$B$12:$AC$193,8,0)</f>
        <v>4.6566128730773926E-10</v>
      </c>
      <c r="I19" s="186">
        <f>+VLOOKUP($E19,[1]tb!$B$12:$AC$193,10,0)</f>
        <v>4.6566128730773926E-10</v>
      </c>
      <c r="J19" s="186">
        <f>+VLOOKUP($E19,[1]tb!$B$12:$AC$193,12,0)</f>
        <v>4.6566128730773926E-10</v>
      </c>
      <c r="K19" s="186">
        <f>+VLOOKUP($E19,[1]tb!$B$12:$AC$193,14,0)</f>
        <v>4.6566128730773926E-10</v>
      </c>
      <c r="L19" s="186">
        <f>+VLOOKUP($E19,[1]tb!$B$12:$AC$193,16,0)</f>
        <v>4.6566128730773926E-10</v>
      </c>
      <c r="M19" s="186">
        <f>+VLOOKUP($E19,[1]tb!$B$12:$AC$193,18,0)</f>
        <v>4.6566128730773926E-10</v>
      </c>
      <c r="N19" s="186">
        <f>+VLOOKUP($E19,[1]tb!$B$12:$AC$193,20,0)</f>
        <v>4.6566128730773926E-10</v>
      </c>
      <c r="O19" s="186">
        <f>+VLOOKUP($E19,[1]tb!$B$12:$AC$193,22,0)</f>
        <v>4.6566128730773926E-10</v>
      </c>
      <c r="P19" s="186">
        <f>+VLOOKUP($E19,[1]tb!$B$12:$AC$193,24,0)</f>
        <v>4.6566128730773926E-10</v>
      </c>
      <c r="Q19" s="186">
        <f>+VLOOKUP($E19,[1]tb!$B$12:$AC$193,26,0)</f>
        <v>4.6566128730773926E-10</v>
      </c>
      <c r="R19" s="186">
        <f t="shared" si="1"/>
        <v>4.6566128730773926E-10</v>
      </c>
    </row>
    <row r="20" spans="3:18" hidden="1">
      <c r="D20" s="204" t="s">
        <v>239</v>
      </c>
      <c r="E20" s="206" t="s">
        <v>17</v>
      </c>
      <c r="F20" s="186">
        <f>+VLOOKUP($E20,[1]tb!$B$12:$AC$193,4,0)</f>
        <v>0</v>
      </c>
      <c r="G20" s="186">
        <f>+VLOOKUP($E20,[1]tb!$B$12:$AC$193,6,0)</f>
        <v>0</v>
      </c>
      <c r="H20" s="186">
        <f>+VLOOKUP($E20,[1]tb!$B$12:$AC$193,8,0)</f>
        <v>0</v>
      </c>
      <c r="I20" s="186">
        <f>+VLOOKUP($E20,[1]tb!$B$12:$AC$193,10,0)</f>
        <v>0</v>
      </c>
      <c r="J20" s="186">
        <f>+VLOOKUP($E20,[1]tb!$B$12:$AC$193,12,0)</f>
        <v>0</v>
      </c>
      <c r="K20" s="186">
        <f>+VLOOKUP($E20,[1]tb!$B$12:$AC$193,14,0)</f>
        <v>0</v>
      </c>
      <c r="L20" s="186">
        <f>+VLOOKUP($E20,[1]tb!$B$12:$AC$193,16,0)</f>
        <v>0</v>
      </c>
      <c r="M20" s="186">
        <f>+VLOOKUP($E20,[1]tb!$B$12:$AC$193,18,0)</f>
        <v>0</v>
      </c>
      <c r="N20" s="186">
        <f>+VLOOKUP($E20,[1]tb!$B$12:$AC$193,20,0)</f>
        <v>0</v>
      </c>
      <c r="O20" s="186">
        <f>+VLOOKUP($E20,[1]tb!$B$12:$AC$193,22,0)</f>
        <v>0</v>
      </c>
      <c r="P20" s="186">
        <f>+VLOOKUP($E20,[1]tb!$B$12:$AC$193,24,0)</f>
        <v>0</v>
      </c>
      <c r="Q20" s="186">
        <f>+VLOOKUP($E20,[1]tb!$B$12:$AC$193,26,0)</f>
        <v>0</v>
      </c>
      <c r="R20" s="186">
        <f t="shared" si="1"/>
        <v>0</v>
      </c>
    </row>
    <row r="21" spans="3:18" hidden="1">
      <c r="D21" s="204" t="s">
        <v>707</v>
      </c>
      <c r="E21" s="206" t="s">
        <v>675</v>
      </c>
      <c r="F21" s="186">
        <f>+VLOOKUP($E21,[1]tb!$B$12:$AC$193,4,0)</f>
        <v>0</v>
      </c>
      <c r="G21" s="186">
        <f>+VLOOKUP($E21,[1]tb!$B$12:$AC$193,6,0)</f>
        <v>0</v>
      </c>
      <c r="H21" s="186">
        <f>+VLOOKUP($E21,[1]tb!$B$12:$AC$193,8,0)</f>
        <v>0</v>
      </c>
      <c r="I21" s="186">
        <f>+VLOOKUP($E21,[1]tb!$B$12:$AC$193,10,0)</f>
        <v>0</v>
      </c>
      <c r="J21" s="186">
        <f>+VLOOKUP($E21,[1]tb!$B$12:$AC$193,12,0)</f>
        <v>0</v>
      </c>
      <c r="K21" s="186">
        <f>+VLOOKUP($E21,[1]tb!$B$12:$AC$193,14,0)</f>
        <v>0</v>
      </c>
      <c r="L21" s="186">
        <f>+VLOOKUP($E21,[1]tb!$B$12:$AC$193,16,0)</f>
        <v>0</v>
      </c>
      <c r="M21" s="186">
        <f>+VLOOKUP($E21,[1]tb!$B$12:$AC$193,18,0)</f>
        <v>0</v>
      </c>
      <c r="N21" s="186">
        <f>+VLOOKUP($E21,[1]tb!$B$12:$AC$193,20,0)</f>
        <v>0</v>
      </c>
      <c r="O21" s="186">
        <f>+VLOOKUP($E21,[1]tb!$B$12:$AC$193,22,0)</f>
        <v>0</v>
      </c>
      <c r="P21" s="186">
        <f>+VLOOKUP($E21,[1]tb!$B$12:$AC$193,24,0)</f>
        <v>0</v>
      </c>
      <c r="Q21" s="186">
        <f>+VLOOKUP($E21,[1]tb!$B$12:$AC$193,26,0)</f>
        <v>0</v>
      </c>
      <c r="R21" s="186">
        <f t="shared" si="1"/>
        <v>0</v>
      </c>
    </row>
    <row r="22" spans="3:18" ht="5.0999999999999996" customHeight="1"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3:18">
      <c r="C23" s="208" t="s">
        <v>708</v>
      </c>
      <c r="F23" s="209">
        <f>+SUM(F24:F28)</f>
        <v>155908.79999999999</v>
      </c>
      <c r="G23" s="209">
        <f>+SUM(G24:G28)</f>
        <v>155908.79999999999</v>
      </c>
      <c r="H23" s="209">
        <f t="shared" ref="H23:Q23" si="2">+SUM(H24:H28)</f>
        <v>172858.80000000005</v>
      </c>
      <c r="I23" s="209">
        <f t="shared" si="2"/>
        <v>172858.80000000005</v>
      </c>
      <c r="J23" s="209">
        <f t="shared" si="2"/>
        <v>172858.80000000005</v>
      </c>
      <c r="K23" s="209">
        <f t="shared" si="2"/>
        <v>172858.80000000005</v>
      </c>
      <c r="L23" s="209">
        <f t="shared" si="2"/>
        <v>172858.80000000005</v>
      </c>
      <c r="M23" s="209">
        <f t="shared" si="2"/>
        <v>172858.80000000005</v>
      </c>
      <c r="N23" s="209">
        <f t="shared" si="2"/>
        <v>172858.80000000005</v>
      </c>
      <c r="O23" s="209">
        <f t="shared" si="2"/>
        <v>172858.80000000005</v>
      </c>
      <c r="P23" s="209">
        <f t="shared" si="2"/>
        <v>172858.80000000005</v>
      </c>
      <c r="Q23" s="209">
        <f t="shared" si="2"/>
        <v>172858.80000000005</v>
      </c>
      <c r="R23" s="209">
        <f>R25+R26+R27</f>
        <v>156839.80000000005</v>
      </c>
    </row>
    <row r="24" spans="3:18">
      <c r="D24" s="204" t="s">
        <v>240</v>
      </c>
      <c r="E24" s="206" t="s">
        <v>18</v>
      </c>
      <c r="F24" s="186">
        <f>+VLOOKUP($E24,[1]tb!$B$12:$AC$193,4,0)</f>
        <v>0</v>
      </c>
      <c r="G24" s="186">
        <f>+VLOOKUP($E24,[1]tb!$B$12:$AC$193,6,0)</f>
        <v>0</v>
      </c>
      <c r="H24" s="186">
        <f>+VLOOKUP($E24,[1]tb!$B$12:$AC$193,8,0)</f>
        <v>0</v>
      </c>
      <c r="I24" s="186">
        <f>+VLOOKUP($E24,[1]tb!$B$12:$AC$193,10,0)</f>
        <v>0</v>
      </c>
      <c r="J24" s="186">
        <f>+VLOOKUP($E24,[1]tb!$B$12:$AC$193,12,0)</f>
        <v>0</v>
      </c>
      <c r="K24" s="186">
        <f>+VLOOKUP($E24,[1]tb!$B$12:$AC$193,14,0)</f>
        <v>0</v>
      </c>
      <c r="L24" s="186">
        <f>+VLOOKUP($E24,[1]tb!$B$12:$AC$193,16,0)</f>
        <v>0</v>
      </c>
      <c r="M24" s="186">
        <f>+VLOOKUP($E24,[1]tb!$B$12:$AC$193,18,0)</f>
        <v>0</v>
      </c>
      <c r="N24" s="186">
        <f>+VLOOKUP($E24,[1]tb!$B$12:$AC$193,20,0)</f>
        <v>0</v>
      </c>
      <c r="O24" s="186">
        <f>+VLOOKUP($E24,[1]tb!$B$12:$AC$193,22,0)</f>
        <v>0</v>
      </c>
      <c r="P24" s="186">
        <f>+VLOOKUP($E24,[1]tb!$B$12:$AC$193,24,0)</f>
        <v>0</v>
      </c>
      <c r="Q24" s="186">
        <f>+VLOOKUP($E24,[1]tb!$B$12:$AC$193,26,0)</f>
        <v>0</v>
      </c>
      <c r="R24" s="186">
        <f t="shared" ref="R24:R48" si="3">+Q24</f>
        <v>0</v>
      </c>
    </row>
    <row r="25" spans="3:18">
      <c r="D25" s="204" t="s">
        <v>245</v>
      </c>
      <c r="E25" s="206" t="s">
        <v>23</v>
      </c>
      <c r="F25" s="186">
        <f>+VLOOKUP($E25,[1]tb!$B$12:$AC$193,4,0)</f>
        <v>150868.79999999999</v>
      </c>
      <c r="G25" s="186">
        <f>+VLOOKUP($E25,[1]tb!$B$12:$AC$193,6,0)</f>
        <v>150868.79999999999</v>
      </c>
      <c r="H25" s="186">
        <f>+VLOOKUP($E25,[1]tb!$B$12:$AC$193,8,0)</f>
        <v>150868.79999999999</v>
      </c>
      <c r="I25" s="186">
        <f>+VLOOKUP($E25,[1]tb!$B$12:$AC$193,10,0)</f>
        <v>150868.79999999999</v>
      </c>
      <c r="J25" s="186">
        <f>+VLOOKUP($E25,[1]tb!$B$12:$AC$193,12,0)</f>
        <v>150868.79999999999</v>
      </c>
      <c r="K25" s="186">
        <f>+VLOOKUP($E25,[1]tb!$B$12:$AC$193,14,0)</f>
        <v>150868.79999999999</v>
      </c>
      <c r="L25" s="186">
        <f>+VLOOKUP($E25,[1]tb!$B$12:$AC$193,16,0)</f>
        <v>150868.79999999999</v>
      </c>
      <c r="M25" s="186">
        <f>+VLOOKUP($E25,[1]tb!$B$12:$AC$193,18,0)</f>
        <v>150868.79999999999</v>
      </c>
      <c r="N25" s="186">
        <f>+VLOOKUP($E25,[1]tb!$B$12:$AC$193,20,0)</f>
        <v>150868.79999999999</v>
      </c>
      <c r="O25" s="186">
        <f>+VLOOKUP($E25,[1]tb!$B$12:$AC$193,22,0)</f>
        <v>150868.79999999999</v>
      </c>
      <c r="P25" s="186">
        <f>+VLOOKUP($E25,[1]tb!$B$12:$AC$193,24,0)</f>
        <v>150868.79999999999</v>
      </c>
      <c r="Q25" s="186">
        <f>+VLOOKUP($E25,[1]tb!$B$12:$AC$193,26,0)</f>
        <v>150868.79999999999</v>
      </c>
      <c r="R25" s="186">
        <f t="shared" si="3"/>
        <v>150868.79999999999</v>
      </c>
    </row>
    <row r="26" spans="3:18">
      <c r="D26" s="204" t="s">
        <v>246</v>
      </c>
      <c r="E26" s="206" t="s">
        <v>24</v>
      </c>
      <c r="F26" s="186">
        <f>+VLOOKUP($E26,[1]tb!$B$12:$AC$193,4,0)</f>
        <v>5040</v>
      </c>
      <c r="G26" s="186">
        <f>+VLOOKUP($E26,[1]tb!$B$12:$AC$193,6,0)</f>
        <v>5040</v>
      </c>
      <c r="H26" s="186">
        <f>+VLOOKUP($E26,[1]tb!$B$12:$AC$193,8,0)</f>
        <v>21059.000000000058</v>
      </c>
      <c r="I26" s="186">
        <f>+VLOOKUP($E26,[1]tb!$B$12:$AC$193,10,0)</f>
        <v>21059.000000000058</v>
      </c>
      <c r="J26" s="186">
        <f>+VLOOKUP($E26,[1]tb!$B$12:$AC$193,12,0)</f>
        <v>21059.000000000058</v>
      </c>
      <c r="K26" s="186">
        <f>+VLOOKUP($E26,[1]tb!$B$12:$AC$193,14,0)</f>
        <v>21059.000000000058</v>
      </c>
      <c r="L26" s="186">
        <f>+VLOOKUP($E26,[1]tb!$B$12:$AC$193,16,0)</f>
        <v>21059.000000000058</v>
      </c>
      <c r="M26" s="186">
        <f>+VLOOKUP($E26,[1]tb!$B$12:$AC$193,18,0)</f>
        <v>21059.000000000058</v>
      </c>
      <c r="N26" s="186">
        <f>+VLOOKUP($E26,[1]tb!$B$12:$AC$193,20,0)</f>
        <v>21059.000000000058</v>
      </c>
      <c r="O26" s="186">
        <f>+VLOOKUP($E26,[1]tb!$B$12:$AC$193,22,0)</f>
        <v>21059.000000000058</v>
      </c>
      <c r="P26" s="186">
        <f>+VLOOKUP($E26,[1]tb!$B$12:$AC$193,24,0)</f>
        <v>21059.000000000058</v>
      </c>
      <c r="Q26" s="186">
        <f>+VLOOKUP($E26,[1]tb!$B$12:$AC$193,26,0)</f>
        <v>21059.000000000058</v>
      </c>
      <c r="R26" s="186">
        <f>+Q26-16019</f>
        <v>5040.0000000000582</v>
      </c>
    </row>
    <row r="27" spans="3:18">
      <c r="D27" s="204" t="s">
        <v>248</v>
      </c>
      <c r="E27" s="206" t="s">
        <v>26</v>
      </c>
      <c r="F27" s="186">
        <f>+VLOOKUP($E27,[1]tb!$B$12:$AC$193,4,0)</f>
        <v>0</v>
      </c>
      <c r="G27" s="186">
        <f>+VLOOKUP($E27,[1]tb!$B$12:$AC$193,6,0)</f>
        <v>0</v>
      </c>
      <c r="H27" s="186">
        <f>+VLOOKUP($E27,[1]tb!$B$12:$AC$193,8,0)</f>
        <v>931</v>
      </c>
      <c r="I27" s="186">
        <f>+VLOOKUP($E27,[1]tb!$B$12:$AC$193,10,0)</f>
        <v>931</v>
      </c>
      <c r="J27" s="186">
        <f>+VLOOKUP($E27,[1]tb!$B$12:$AC$193,12,0)</f>
        <v>931</v>
      </c>
      <c r="K27" s="186">
        <f>+VLOOKUP($E27,[1]tb!$B$12:$AC$193,14,0)</f>
        <v>931</v>
      </c>
      <c r="L27" s="186">
        <f>+VLOOKUP($E27,[1]tb!$B$12:$AC$193,16,0)</f>
        <v>931</v>
      </c>
      <c r="M27" s="186">
        <f>+VLOOKUP($E27,[1]tb!$B$12:$AC$193,18,0)</f>
        <v>931</v>
      </c>
      <c r="N27" s="186">
        <f>+VLOOKUP($E27,[1]tb!$B$12:$AC$193,20,0)</f>
        <v>931</v>
      </c>
      <c r="O27" s="186">
        <f>+VLOOKUP($E27,[1]tb!$B$12:$AC$193,22,0)</f>
        <v>931</v>
      </c>
      <c r="P27" s="186">
        <f>+VLOOKUP($E27,[1]tb!$B$12:$AC$193,24,0)</f>
        <v>931</v>
      </c>
      <c r="Q27" s="186">
        <f>+VLOOKUP($E27,[1]tb!$B$12:$AC$193,26,0)</f>
        <v>931</v>
      </c>
      <c r="R27" s="186">
        <f t="shared" si="3"/>
        <v>931</v>
      </c>
    </row>
    <row r="28" spans="3:18" ht="5.0999999999999996" customHeight="1"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3:18">
      <c r="C29" s="208" t="s">
        <v>709</v>
      </c>
      <c r="F29" s="209">
        <f>+SUM(F30:F34)</f>
        <v>1194194.52</v>
      </c>
      <c r="G29" s="209">
        <f>+SUM(G30:G34)</f>
        <v>1152548.51</v>
      </c>
      <c r="H29" s="209">
        <f t="shared" ref="H29:Q29" si="4">+SUM(H30:H34)</f>
        <v>1170832.3699999999</v>
      </c>
      <c r="I29" s="209">
        <f t="shared" si="4"/>
        <v>1170832.3699999999</v>
      </c>
      <c r="J29" s="209">
        <f t="shared" si="4"/>
        <v>1170832.3699999999</v>
      </c>
      <c r="K29" s="209">
        <f t="shared" si="4"/>
        <v>1170832.3699999999</v>
      </c>
      <c r="L29" s="209">
        <f t="shared" si="4"/>
        <v>1170832.3699999999</v>
      </c>
      <c r="M29" s="209">
        <f t="shared" si="4"/>
        <v>1170832.3699999999</v>
      </c>
      <c r="N29" s="209">
        <f t="shared" si="4"/>
        <v>1170832.3699999999</v>
      </c>
      <c r="O29" s="209">
        <f t="shared" si="4"/>
        <v>1170832.3699999999</v>
      </c>
      <c r="P29" s="209">
        <f t="shared" si="4"/>
        <v>1170832.3699999999</v>
      </c>
      <c r="Q29" s="209">
        <f t="shared" si="4"/>
        <v>1170832.3699999999</v>
      </c>
      <c r="R29" s="209">
        <f t="shared" si="3"/>
        <v>1170832.3699999999</v>
      </c>
    </row>
    <row r="30" spans="3:18">
      <c r="D30" s="204" t="s">
        <v>249</v>
      </c>
      <c r="E30" s="206" t="s">
        <v>27</v>
      </c>
      <c r="F30" s="186">
        <f>+VLOOKUP($E30,[1]tb!$B$12:$AC$193,4,0)</f>
        <v>730509.17999999993</v>
      </c>
      <c r="G30" s="186">
        <f>+VLOOKUP($E30,[1]tb!$B$12:$AC$193,6,0)</f>
        <v>705879.16999999993</v>
      </c>
      <c r="H30" s="186">
        <f>+VLOOKUP($E30,[1]tb!$B$12:$AC$193,8,0)</f>
        <v>734427.77999999991</v>
      </c>
      <c r="I30" s="186">
        <f>+VLOOKUP($E30,[1]tb!$B$12:$AC$193,10,0)</f>
        <v>734427.77999999991</v>
      </c>
      <c r="J30" s="186">
        <f>+VLOOKUP($E30,[1]tb!$B$12:$AC$193,12,0)</f>
        <v>734427.77999999991</v>
      </c>
      <c r="K30" s="186">
        <f>+VLOOKUP($E30,[1]tb!$B$12:$AC$193,14,0)</f>
        <v>734427.77999999991</v>
      </c>
      <c r="L30" s="186">
        <f>+VLOOKUP($E30,[1]tb!$B$12:$AC$193,16,0)</f>
        <v>734427.77999999991</v>
      </c>
      <c r="M30" s="186">
        <f>+VLOOKUP($E30,[1]tb!$B$12:$AC$193,18,0)</f>
        <v>734427.77999999991</v>
      </c>
      <c r="N30" s="186">
        <f>+VLOOKUP($E30,[1]tb!$B$12:$AC$193,20,0)</f>
        <v>734427.77999999991</v>
      </c>
      <c r="O30" s="186">
        <f>+VLOOKUP($E30,[1]tb!$B$12:$AC$193,22,0)</f>
        <v>734427.77999999991</v>
      </c>
      <c r="P30" s="186">
        <f>+VLOOKUP($E30,[1]tb!$B$12:$AC$193,24,0)</f>
        <v>734427.77999999991</v>
      </c>
      <c r="Q30" s="186">
        <f>+VLOOKUP($E30,[1]tb!$B$12:$AC$193,26,0)</f>
        <v>734427.77999999991</v>
      </c>
      <c r="R30" s="186">
        <f t="shared" si="3"/>
        <v>734427.77999999991</v>
      </c>
    </row>
    <row r="31" spans="3:18">
      <c r="D31" s="204" t="s">
        <v>250</v>
      </c>
      <c r="E31" s="206" t="s">
        <v>28</v>
      </c>
      <c r="F31" s="186">
        <f>+VLOOKUP($E31,[1]tb!$B$12:$AC$193,4,0)</f>
        <v>185942</v>
      </c>
      <c r="G31" s="186">
        <f>+VLOOKUP($E31,[1]tb!$B$12:$AC$193,6,0)</f>
        <v>170364</v>
      </c>
      <c r="H31" s="186">
        <f>+VLOOKUP($E31,[1]tb!$B$12:$AC$193,8,0)</f>
        <v>154098</v>
      </c>
      <c r="I31" s="186">
        <f>+VLOOKUP($E31,[1]tb!$B$12:$AC$193,10,0)</f>
        <v>154098</v>
      </c>
      <c r="J31" s="186">
        <f>+VLOOKUP($E31,[1]tb!$B$12:$AC$193,12,0)</f>
        <v>154098</v>
      </c>
      <c r="K31" s="186">
        <f>+VLOOKUP($E31,[1]tb!$B$12:$AC$193,14,0)</f>
        <v>154098</v>
      </c>
      <c r="L31" s="186">
        <f>+VLOOKUP($E31,[1]tb!$B$12:$AC$193,16,0)</f>
        <v>154098</v>
      </c>
      <c r="M31" s="186">
        <f>+VLOOKUP($E31,[1]tb!$B$12:$AC$193,18,0)</f>
        <v>154098</v>
      </c>
      <c r="N31" s="186">
        <f>+VLOOKUP($E31,[1]tb!$B$12:$AC$193,20,0)</f>
        <v>154098</v>
      </c>
      <c r="O31" s="186">
        <f>+VLOOKUP($E31,[1]tb!$B$12:$AC$193,22,0)</f>
        <v>154098</v>
      </c>
      <c r="P31" s="186">
        <f>+VLOOKUP($E31,[1]tb!$B$12:$AC$193,24,0)</f>
        <v>154098</v>
      </c>
      <c r="Q31" s="186">
        <f>+VLOOKUP($E31,[1]tb!$B$12:$AC$193,26,0)</f>
        <v>154098</v>
      </c>
      <c r="R31" s="186">
        <f t="shared" si="3"/>
        <v>154098</v>
      </c>
    </row>
    <row r="32" spans="3:18">
      <c r="D32" s="204" t="s">
        <v>251</v>
      </c>
      <c r="E32" s="206" t="s">
        <v>29</v>
      </c>
      <c r="F32" s="186">
        <f>+VLOOKUP($E32,[1]tb!$B$12:$AC$193,4,0)</f>
        <v>53600</v>
      </c>
      <c r="G32" s="186">
        <f>+VLOOKUP($E32,[1]tb!$B$12:$AC$193,6,0)</f>
        <v>53600</v>
      </c>
      <c r="H32" s="186">
        <f>+VLOOKUP($E32,[1]tb!$B$12:$AC$193,8,0)</f>
        <v>60500</v>
      </c>
      <c r="I32" s="186">
        <f>+VLOOKUP($E32,[1]tb!$B$12:$AC$193,10,0)</f>
        <v>60500</v>
      </c>
      <c r="J32" s="186">
        <f>+VLOOKUP($E32,[1]tb!$B$12:$AC$193,12,0)</f>
        <v>60500</v>
      </c>
      <c r="K32" s="186">
        <f>+VLOOKUP($E32,[1]tb!$B$12:$AC$193,14,0)</f>
        <v>60500</v>
      </c>
      <c r="L32" s="186">
        <f>+VLOOKUP($E32,[1]tb!$B$12:$AC$193,16,0)</f>
        <v>60500</v>
      </c>
      <c r="M32" s="186">
        <f>+VLOOKUP($E32,[1]tb!$B$12:$AC$193,18,0)</f>
        <v>60500</v>
      </c>
      <c r="N32" s="186">
        <f>+VLOOKUP($E32,[1]tb!$B$12:$AC$193,20,0)</f>
        <v>60500</v>
      </c>
      <c r="O32" s="186">
        <f>+VLOOKUP($E32,[1]tb!$B$12:$AC$193,22,0)</f>
        <v>60500</v>
      </c>
      <c r="P32" s="186">
        <f>+VLOOKUP($E32,[1]tb!$B$12:$AC$193,24,0)</f>
        <v>60500</v>
      </c>
      <c r="Q32" s="186">
        <f>+VLOOKUP($E32,[1]tb!$B$12:$AC$193,26,0)</f>
        <v>60500</v>
      </c>
      <c r="R32" s="186">
        <f t="shared" si="3"/>
        <v>60500</v>
      </c>
    </row>
    <row r="33" spans="3:18">
      <c r="D33" s="204" t="s">
        <v>253</v>
      </c>
      <c r="E33" s="206" t="s">
        <v>31</v>
      </c>
      <c r="F33" s="186">
        <f>+VLOOKUP($E33,[1]tb!$B$12:$AC$193,4,0)</f>
        <v>224143.34000000003</v>
      </c>
      <c r="G33" s="186">
        <f>+VLOOKUP($E33,[1]tb!$B$12:$AC$193,6,0)</f>
        <v>222705.34000000003</v>
      </c>
      <c r="H33" s="186">
        <f>+VLOOKUP($E33,[1]tb!$B$12:$AC$193,8,0)</f>
        <v>221806.59000000003</v>
      </c>
      <c r="I33" s="186">
        <f>+VLOOKUP($E33,[1]tb!$B$12:$AC$193,10,0)</f>
        <v>221806.59000000003</v>
      </c>
      <c r="J33" s="186">
        <f>+VLOOKUP($E33,[1]tb!$B$12:$AC$193,12,0)</f>
        <v>221806.59000000003</v>
      </c>
      <c r="K33" s="186">
        <f>+VLOOKUP($E33,[1]tb!$B$12:$AC$193,14,0)</f>
        <v>221806.59000000003</v>
      </c>
      <c r="L33" s="186">
        <f>+VLOOKUP($E33,[1]tb!$B$12:$AC$193,16,0)</f>
        <v>221806.59000000003</v>
      </c>
      <c r="M33" s="186">
        <f>+VLOOKUP($E33,[1]tb!$B$12:$AC$193,18,0)</f>
        <v>221806.59000000003</v>
      </c>
      <c r="N33" s="186">
        <f>+VLOOKUP($E33,[1]tb!$B$12:$AC$193,20,0)</f>
        <v>221806.59000000003</v>
      </c>
      <c r="O33" s="186">
        <f>+VLOOKUP($E33,[1]tb!$B$12:$AC$193,22,0)</f>
        <v>221806.59000000003</v>
      </c>
      <c r="P33" s="186">
        <f>+VLOOKUP($E33,[1]tb!$B$12:$AC$193,24,0)</f>
        <v>221806.59000000003</v>
      </c>
      <c r="Q33" s="186">
        <f>+VLOOKUP($E33,[1]tb!$B$12:$AC$193,26,0)</f>
        <v>221806.59000000003</v>
      </c>
      <c r="R33" s="186">
        <f t="shared" si="3"/>
        <v>221806.59000000003</v>
      </c>
    </row>
    <row r="34" spans="3:18" ht="5.0999999999999996" customHeight="1"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3:18">
      <c r="C35" s="208" t="s">
        <v>710</v>
      </c>
      <c r="F35" s="209">
        <f>+SUM(F36:F47)</f>
        <v>181583.57</v>
      </c>
      <c r="G35" s="209">
        <f>+SUM(G36:G47)</f>
        <v>230853.88</v>
      </c>
      <c r="H35" s="209">
        <f t="shared" ref="H35:Q35" si="5">+SUM(H36:H47)</f>
        <v>437207.32</v>
      </c>
      <c r="I35" s="209">
        <f t="shared" si="5"/>
        <v>437207.32</v>
      </c>
      <c r="J35" s="209">
        <f t="shared" si="5"/>
        <v>437207.32</v>
      </c>
      <c r="K35" s="209">
        <f t="shared" si="5"/>
        <v>437207.32</v>
      </c>
      <c r="L35" s="209">
        <f t="shared" si="5"/>
        <v>437207.32</v>
      </c>
      <c r="M35" s="209">
        <f t="shared" si="5"/>
        <v>437207.32</v>
      </c>
      <c r="N35" s="209">
        <f t="shared" si="5"/>
        <v>437207.32</v>
      </c>
      <c r="O35" s="209">
        <f t="shared" si="5"/>
        <v>437207.32</v>
      </c>
      <c r="P35" s="209">
        <f t="shared" si="5"/>
        <v>437207.32</v>
      </c>
      <c r="Q35" s="209">
        <f t="shared" si="5"/>
        <v>437207.32</v>
      </c>
      <c r="R35" s="209">
        <f t="shared" si="3"/>
        <v>437207.32</v>
      </c>
    </row>
    <row r="36" spans="3:18" hidden="1">
      <c r="D36" s="204" t="s">
        <v>298</v>
      </c>
      <c r="E36" s="206" t="s">
        <v>76</v>
      </c>
      <c r="F36" s="186">
        <f>+VLOOKUP($E36,[1]tb!$B$12:$AC$193,4,0)</f>
        <v>0</v>
      </c>
      <c r="G36" s="186">
        <f>+VLOOKUP($E36,[1]tb!$B$12:$AC$193,6,0)</f>
        <v>0</v>
      </c>
      <c r="H36" s="186">
        <f>+VLOOKUP($E36,[1]tb!$B$12:$AC$193,8,0)</f>
        <v>0</v>
      </c>
      <c r="I36" s="186">
        <f>+VLOOKUP($E36,[1]tb!$B$12:$AC$193,10,0)</f>
        <v>0</v>
      </c>
      <c r="J36" s="186">
        <f>+VLOOKUP($E36,[1]tb!$B$12:$AC$193,12,0)</f>
        <v>0</v>
      </c>
      <c r="K36" s="186">
        <f>+VLOOKUP($E36,[1]tb!$B$12:$AC$193,14,0)</f>
        <v>0</v>
      </c>
      <c r="L36" s="186">
        <f>+VLOOKUP($E36,[1]tb!$B$12:$AC$193,16,0)</f>
        <v>0</v>
      </c>
      <c r="M36" s="186">
        <f>+VLOOKUP($E36,[1]tb!$B$12:$AC$193,18,0)</f>
        <v>0</v>
      </c>
      <c r="N36" s="186">
        <f>+VLOOKUP($E36,[1]tb!$B$12:$AC$193,20,0)</f>
        <v>0</v>
      </c>
      <c r="O36" s="186">
        <f>+VLOOKUP($E36,[1]tb!$B$12:$AC$193,22,0)</f>
        <v>0</v>
      </c>
      <c r="P36" s="186">
        <f>+VLOOKUP($E36,[1]tb!$B$12:$AC$193,24,0)</f>
        <v>0</v>
      </c>
      <c r="Q36" s="186">
        <f>+VLOOKUP($E36,[1]tb!$B$12:$AC$193,26,0)</f>
        <v>0</v>
      </c>
      <c r="R36" s="186">
        <f t="shared" si="3"/>
        <v>0</v>
      </c>
    </row>
    <row r="37" spans="3:18">
      <c r="D37" s="204" t="s">
        <v>299</v>
      </c>
      <c r="E37" s="206" t="s">
        <v>77</v>
      </c>
      <c r="F37" s="186">
        <f>+VLOOKUP($E37,[1]tb!$B$12:$AC$193,4,0)</f>
        <v>72319</v>
      </c>
      <c r="G37" s="186">
        <f>+VLOOKUP($E37,[1]tb!$B$12:$AC$193,6,0)</f>
        <v>93519</v>
      </c>
      <c r="H37" s="186">
        <f>+VLOOKUP($E37,[1]tb!$B$12:$AC$193,8,0)</f>
        <v>198283.99</v>
      </c>
      <c r="I37" s="186">
        <f>+VLOOKUP($E37,[1]tb!$B$12:$AC$193,10,0)</f>
        <v>198283.99</v>
      </c>
      <c r="J37" s="186">
        <f>+VLOOKUP($E37,[1]tb!$B$12:$AC$193,12,0)</f>
        <v>198283.99</v>
      </c>
      <c r="K37" s="186">
        <f>+VLOOKUP($E37,[1]tb!$B$12:$AC$193,14,0)</f>
        <v>198283.99</v>
      </c>
      <c r="L37" s="186">
        <f>+VLOOKUP($E37,[1]tb!$B$12:$AC$193,16,0)</f>
        <v>198283.99</v>
      </c>
      <c r="M37" s="186">
        <f>+VLOOKUP($E37,[1]tb!$B$12:$AC$193,18,0)</f>
        <v>198283.99</v>
      </c>
      <c r="N37" s="186">
        <f>+VLOOKUP($E37,[1]tb!$B$12:$AC$193,20,0)</f>
        <v>198283.99</v>
      </c>
      <c r="O37" s="186">
        <f>+VLOOKUP($E37,[1]tb!$B$12:$AC$193,22,0)</f>
        <v>198283.99</v>
      </c>
      <c r="P37" s="186">
        <f>+VLOOKUP($E37,[1]tb!$B$12:$AC$193,24,0)</f>
        <v>198283.99</v>
      </c>
      <c r="Q37" s="186">
        <f>+VLOOKUP($E37,[1]tb!$B$12:$AC$193,26,0)</f>
        <v>198283.99</v>
      </c>
      <c r="R37" s="186">
        <f t="shared" si="3"/>
        <v>198283.99</v>
      </c>
    </row>
    <row r="38" spans="3:18">
      <c r="D38" s="204" t="s">
        <v>300</v>
      </c>
      <c r="E38" s="206" t="s">
        <v>78</v>
      </c>
      <c r="F38" s="186">
        <f>+VLOOKUP($E38,[1]tb!$B$12:$AC$193,4,0)</f>
        <v>14940</v>
      </c>
      <c r="G38" s="186">
        <f>+VLOOKUP($E38,[1]tb!$B$12:$AC$193,6,0)</f>
        <v>45262</v>
      </c>
      <c r="H38" s="186">
        <f>+VLOOKUP($E38,[1]tb!$B$12:$AC$193,8,0)</f>
        <v>151564</v>
      </c>
      <c r="I38" s="186">
        <f>+VLOOKUP($E38,[1]tb!$B$12:$AC$193,10,0)</f>
        <v>151564</v>
      </c>
      <c r="J38" s="186">
        <f>+VLOOKUP($E38,[1]tb!$B$12:$AC$193,12,0)</f>
        <v>151564</v>
      </c>
      <c r="K38" s="186">
        <f>+VLOOKUP($E38,[1]tb!$B$12:$AC$193,14,0)</f>
        <v>151564</v>
      </c>
      <c r="L38" s="186">
        <f>+VLOOKUP($E38,[1]tb!$B$12:$AC$193,16,0)</f>
        <v>151564</v>
      </c>
      <c r="M38" s="186">
        <f>+VLOOKUP($E38,[1]tb!$B$12:$AC$193,18,0)</f>
        <v>151564</v>
      </c>
      <c r="N38" s="186">
        <f>+VLOOKUP($E38,[1]tb!$B$12:$AC$193,20,0)</f>
        <v>151564</v>
      </c>
      <c r="O38" s="186">
        <f>+VLOOKUP($E38,[1]tb!$B$12:$AC$193,22,0)</f>
        <v>151564</v>
      </c>
      <c r="P38" s="186">
        <f>+VLOOKUP($E38,[1]tb!$B$12:$AC$193,24,0)</f>
        <v>151564</v>
      </c>
      <c r="Q38" s="186">
        <f>+VLOOKUP($E38,[1]tb!$B$12:$AC$193,26,0)</f>
        <v>151564</v>
      </c>
      <c r="R38" s="186">
        <f t="shared" si="3"/>
        <v>151564</v>
      </c>
    </row>
    <row r="39" spans="3:18">
      <c r="D39" s="204" t="s">
        <v>301</v>
      </c>
      <c r="E39" s="206" t="s">
        <v>79</v>
      </c>
      <c r="F39" s="186">
        <f>+VLOOKUP($E39,[1]tb!$B$12:$AC$193,4,0)</f>
        <v>22453.759999999995</v>
      </c>
      <c r="G39" s="186">
        <f>+VLOOKUP($E39,[1]tb!$B$12:$AC$193,6,0)</f>
        <v>22453.759999999995</v>
      </c>
      <c r="H39" s="186">
        <f>+VLOOKUP($E39,[1]tb!$B$12:$AC$193,8,0)</f>
        <v>22453.759999999995</v>
      </c>
      <c r="I39" s="186">
        <f>+VLOOKUP($E39,[1]tb!$B$12:$AC$193,10,0)</f>
        <v>22453.759999999995</v>
      </c>
      <c r="J39" s="186">
        <f>+VLOOKUP($E39,[1]tb!$B$12:$AC$193,12,0)</f>
        <v>22453.759999999995</v>
      </c>
      <c r="K39" s="186">
        <f>+VLOOKUP($E39,[1]tb!$B$12:$AC$193,14,0)</f>
        <v>22453.759999999995</v>
      </c>
      <c r="L39" s="186">
        <f>+VLOOKUP($E39,[1]tb!$B$12:$AC$193,16,0)</f>
        <v>22453.759999999995</v>
      </c>
      <c r="M39" s="186">
        <f>+VLOOKUP($E39,[1]tb!$B$12:$AC$193,18,0)</f>
        <v>22453.759999999995</v>
      </c>
      <c r="N39" s="186">
        <f>+VLOOKUP($E39,[1]tb!$B$12:$AC$193,20,0)</f>
        <v>22453.759999999995</v>
      </c>
      <c r="O39" s="186">
        <f>+VLOOKUP($E39,[1]tb!$B$12:$AC$193,22,0)</f>
        <v>22453.759999999995</v>
      </c>
      <c r="P39" s="186">
        <f>+VLOOKUP($E39,[1]tb!$B$12:$AC$193,24,0)</f>
        <v>22453.759999999995</v>
      </c>
      <c r="Q39" s="186">
        <f>+VLOOKUP($E39,[1]tb!$B$12:$AC$193,26,0)</f>
        <v>22453.759999999995</v>
      </c>
      <c r="R39" s="186">
        <f t="shared" si="3"/>
        <v>22453.759999999995</v>
      </c>
    </row>
    <row r="40" spans="3:18" hidden="1">
      <c r="D40" s="204" t="s">
        <v>302</v>
      </c>
      <c r="E40" s="206" t="s">
        <v>80</v>
      </c>
      <c r="F40" s="186">
        <f>+VLOOKUP($E40,[1]tb!$B$12:$AC$193,4,0)</f>
        <v>0</v>
      </c>
      <c r="G40" s="186">
        <f>+VLOOKUP($E40,[1]tb!$B$12:$AC$193,6,0)</f>
        <v>0</v>
      </c>
      <c r="H40" s="186">
        <f>+VLOOKUP($E40,[1]tb!$B$12:$AC$193,8,0)</f>
        <v>0</v>
      </c>
      <c r="I40" s="186">
        <f>+VLOOKUP($E40,[1]tb!$B$12:$AC$193,10,0)</f>
        <v>0</v>
      </c>
      <c r="J40" s="186">
        <f>+VLOOKUP($E40,[1]tb!$B$12:$AC$193,12,0)</f>
        <v>0</v>
      </c>
      <c r="K40" s="186">
        <f>+VLOOKUP($E40,[1]tb!$B$12:$AC$193,14,0)</f>
        <v>0</v>
      </c>
      <c r="L40" s="186">
        <f>+VLOOKUP($E40,[1]tb!$B$12:$AC$193,16,0)</f>
        <v>0</v>
      </c>
      <c r="M40" s="186">
        <f>+VLOOKUP($E40,[1]tb!$B$12:$AC$193,18,0)</f>
        <v>0</v>
      </c>
      <c r="N40" s="186">
        <f>+VLOOKUP($E40,[1]tb!$B$12:$AC$193,20,0)</f>
        <v>0</v>
      </c>
      <c r="O40" s="186">
        <f>+VLOOKUP($E40,[1]tb!$B$12:$AC$193,22,0)</f>
        <v>0</v>
      </c>
      <c r="P40" s="186">
        <f>+VLOOKUP($E40,[1]tb!$B$12:$AC$193,24,0)</f>
        <v>0</v>
      </c>
      <c r="Q40" s="186">
        <f>+VLOOKUP($E40,[1]tb!$B$12:$AC$193,26,0)</f>
        <v>0</v>
      </c>
      <c r="R40" s="186">
        <f t="shared" si="3"/>
        <v>0</v>
      </c>
    </row>
    <row r="41" spans="3:18" hidden="1">
      <c r="D41" s="204" t="s">
        <v>303</v>
      </c>
      <c r="E41" s="206" t="s">
        <v>81</v>
      </c>
      <c r="F41" s="186">
        <f>+VLOOKUP($E41,[1]tb!$B$12:$AC$193,4,0)</f>
        <v>0</v>
      </c>
      <c r="G41" s="186">
        <f>+VLOOKUP($E41,[1]tb!$B$12:$AC$193,6,0)</f>
        <v>0</v>
      </c>
      <c r="H41" s="186">
        <f>+VLOOKUP($E41,[1]tb!$B$12:$AC$193,8,0)</f>
        <v>0</v>
      </c>
      <c r="I41" s="186">
        <f>+VLOOKUP($E41,[1]tb!$B$12:$AC$193,10,0)</f>
        <v>0</v>
      </c>
      <c r="J41" s="186">
        <f>+VLOOKUP($E41,[1]tb!$B$12:$AC$193,12,0)</f>
        <v>0</v>
      </c>
      <c r="K41" s="186">
        <f>+VLOOKUP($E41,[1]tb!$B$12:$AC$193,14,0)</f>
        <v>0</v>
      </c>
      <c r="L41" s="186">
        <f>+VLOOKUP($E41,[1]tb!$B$12:$AC$193,16,0)</f>
        <v>0</v>
      </c>
      <c r="M41" s="186">
        <f>+VLOOKUP($E41,[1]tb!$B$12:$AC$193,18,0)</f>
        <v>0</v>
      </c>
      <c r="N41" s="186">
        <f>+VLOOKUP($E41,[1]tb!$B$12:$AC$193,20,0)</f>
        <v>0</v>
      </c>
      <c r="O41" s="186">
        <f>+VLOOKUP($E41,[1]tb!$B$12:$AC$193,22,0)</f>
        <v>0</v>
      </c>
      <c r="P41" s="186">
        <f>+VLOOKUP($E41,[1]tb!$B$12:$AC$193,24,0)</f>
        <v>0</v>
      </c>
      <c r="Q41" s="186">
        <f>+VLOOKUP($E41,[1]tb!$B$12:$AC$193,26,0)</f>
        <v>0</v>
      </c>
      <c r="R41" s="186">
        <f t="shared" si="3"/>
        <v>0</v>
      </c>
    </row>
    <row r="42" spans="3:18">
      <c r="D42" s="204" t="s">
        <v>304</v>
      </c>
      <c r="E42" s="206" t="s">
        <v>82</v>
      </c>
      <c r="F42" s="186">
        <f>+VLOOKUP($E42,[1]tb!$B$12:$AC$193,4,0)</f>
        <v>32154.300000000003</v>
      </c>
      <c r="G42" s="186">
        <f>+VLOOKUP($E42,[1]tb!$B$12:$AC$193,6,0)</f>
        <v>24423.860000000004</v>
      </c>
      <c r="H42" s="186">
        <f>+VLOOKUP($E42,[1]tb!$B$12:$AC$193,8,0)</f>
        <v>16335.310000000005</v>
      </c>
      <c r="I42" s="186">
        <f>+VLOOKUP($E42,[1]tb!$B$12:$AC$193,10,0)</f>
        <v>16335.310000000005</v>
      </c>
      <c r="J42" s="186">
        <f>+VLOOKUP($E42,[1]tb!$B$12:$AC$193,12,0)</f>
        <v>16335.310000000005</v>
      </c>
      <c r="K42" s="186">
        <f>+VLOOKUP($E42,[1]tb!$B$12:$AC$193,14,0)</f>
        <v>16335.310000000005</v>
      </c>
      <c r="L42" s="186">
        <f>+VLOOKUP($E42,[1]tb!$B$12:$AC$193,16,0)</f>
        <v>16335.310000000005</v>
      </c>
      <c r="M42" s="186">
        <f>+VLOOKUP($E42,[1]tb!$B$12:$AC$193,18,0)</f>
        <v>16335.310000000005</v>
      </c>
      <c r="N42" s="186">
        <f>+VLOOKUP($E42,[1]tb!$B$12:$AC$193,20,0)</f>
        <v>16335.310000000005</v>
      </c>
      <c r="O42" s="186">
        <f>+VLOOKUP($E42,[1]tb!$B$12:$AC$193,22,0)</f>
        <v>16335.310000000005</v>
      </c>
      <c r="P42" s="186">
        <f>+VLOOKUP($E42,[1]tb!$B$12:$AC$193,24,0)</f>
        <v>16335.310000000005</v>
      </c>
      <c r="Q42" s="186">
        <f>+VLOOKUP($E42,[1]tb!$B$12:$AC$193,26,0)</f>
        <v>16335.310000000005</v>
      </c>
      <c r="R42" s="186">
        <f t="shared" si="3"/>
        <v>16335.310000000005</v>
      </c>
    </row>
    <row r="43" spans="3:18">
      <c r="D43" s="204" t="s">
        <v>305</v>
      </c>
      <c r="E43" s="206" t="s">
        <v>83</v>
      </c>
      <c r="F43" s="186">
        <f>+VLOOKUP($E43,[1]tb!$B$12:$AC$193,4,0)</f>
        <v>5253.75</v>
      </c>
      <c r="G43" s="186">
        <f>+VLOOKUP($E43,[1]tb!$B$12:$AC$193,6,0)</f>
        <v>10732.5</v>
      </c>
      <c r="H43" s="186">
        <f>+VLOOKUP($E43,[1]tb!$B$12:$AC$193,8,0)</f>
        <v>14107.5</v>
      </c>
      <c r="I43" s="186">
        <f>+VLOOKUP($E43,[1]tb!$B$12:$AC$193,10,0)</f>
        <v>14107.5</v>
      </c>
      <c r="J43" s="186">
        <f>+VLOOKUP($E43,[1]tb!$B$12:$AC$193,12,0)</f>
        <v>14107.5</v>
      </c>
      <c r="K43" s="186">
        <f>+VLOOKUP($E43,[1]tb!$B$12:$AC$193,14,0)</f>
        <v>14107.5</v>
      </c>
      <c r="L43" s="186">
        <f>+VLOOKUP($E43,[1]tb!$B$12:$AC$193,16,0)</f>
        <v>14107.5</v>
      </c>
      <c r="M43" s="186">
        <f>+VLOOKUP($E43,[1]tb!$B$12:$AC$193,18,0)</f>
        <v>14107.5</v>
      </c>
      <c r="N43" s="186">
        <f>+VLOOKUP($E43,[1]tb!$B$12:$AC$193,20,0)</f>
        <v>14107.5</v>
      </c>
      <c r="O43" s="186">
        <f>+VLOOKUP($E43,[1]tb!$B$12:$AC$193,22,0)</f>
        <v>14107.5</v>
      </c>
      <c r="P43" s="186">
        <f>+VLOOKUP($E43,[1]tb!$B$12:$AC$193,24,0)</f>
        <v>14107.5</v>
      </c>
      <c r="Q43" s="186">
        <f>+VLOOKUP($E43,[1]tb!$B$12:$AC$193,26,0)</f>
        <v>14107.5</v>
      </c>
      <c r="R43" s="186">
        <f t="shared" si="3"/>
        <v>14107.5</v>
      </c>
    </row>
    <row r="44" spans="3:18">
      <c r="D44" s="204" t="s">
        <v>306</v>
      </c>
      <c r="E44" s="206" t="s">
        <v>84</v>
      </c>
      <c r="F44" s="186">
        <f>+VLOOKUP($E44,[1]tb!$B$12:$AC$193,4,0)</f>
        <v>11510.65</v>
      </c>
      <c r="G44" s="186">
        <f>+VLOOKUP($E44,[1]tb!$B$12:$AC$193,6,0)</f>
        <v>11510.65</v>
      </c>
      <c r="H44" s="186">
        <f>+VLOOKUP($E44,[1]tb!$B$12:$AC$193,8,0)</f>
        <v>11510.65</v>
      </c>
      <c r="I44" s="186">
        <f>+VLOOKUP($E44,[1]tb!$B$12:$AC$193,10,0)</f>
        <v>11510.65</v>
      </c>
      <c r="J44" s="186">
        <f>+VLOOKUP($E44,[1]tb!$B$12:$AC$193,12,0)</f>
        <v>11510.65</v>
      </c>
      <c r="K44" s="186">
        <f>+VLOOKUP($E44,[1]tb!$B$12:$AC$193,14,0)</f>
        <v>11510.65</v>
      </c>
      <c r="L44" s="186">
        <f>+VLOOKUP($E44,[1]tb!$B$12:$AC$193,16,0)</f>
        <v>11510.65</v>
      </c>
      <c r="M44" s="186">
        <f>+VLOOKUP($E44,[1]tb!$B$12:$AC$193,18,0)</f>
        <v>11510.65</v>
      </c>
      <c r="N44" s="186">
        <f>+VLOOKUP($E44,[1]tb!$B$12:$AC$193,20,0)</f>
        <v>11510.65</v>
      </c>
      <c r="O44" s="186">
        <f>+VLOOKUP($E44,[1]tb!$B$12:$AC$193,22,0)</f>
        <v>11510.65</v>
      </c>
      <c r="P44" s="186">
        <f>+VLOOKUP($E44,[1]tb!$B$12:$AC$193,24,0)</f>
        <v>11510.65</v>
      </c>
      <c r="Q44" s="186">
        <f>+VLOOKUP($E44,[1]tb!$B$12:$AC$193,26,0)</f>
        <v>11510.65</v>
      </c>
      <c r="R44" s="186">
        <f t="shared" si="3"/>
        <v>11510.65</v>
      </c>
    </row>
    <row r="45" spans="3:18">
      <c r="D45" s="204" t="s">
        <v>307</v>
      </c>
      <c r="E45" s="206" t="s">
        <v>85</v>
      </c>
      <c r="F45" s="186">
        <f>+VLOOKUP($E45,[1]tb!$B$12:$AC$193,4,0)</f>
        <v>5000</v>
      </c>
      <c r="G45" s="186">
        <f>+VLOOKUP($E45,[1]tb!$B$12:$AC$193,6,0)</f>
        <v>5000</v>
      </c>
      <c r="H45" s="186">
        <f>+VLOOKUP($E45,[1]tb!$B$12:$AC$193,8,0)</f>
        <v>5000</v>
      </c>
      <c r="I45" s="186">
        <f>+VLOOKUP($E45,[1]tb!$B$12:$AC$193,10,0)</f>
        <v>5000</v>
      </c>
      <c r="J45" s="186">
        <f>+VLOOKUP($E45,[1]tb!$B$12:$AC$193,12,0)</f>
        <v>5000</v>
      </c>
      <c r="K45" s="186">
        <f>+VLOOKUP($E45,[1]tb!$B$12:$AC$193,14,0)</f>
        <v>5000</v>
      </c>
      <c r="L45" s="186">
        <f>+VLOOKUP($E45,[1]tb!$B$12:$AC$193,16,0)</f>
        <v>5000</v>
      </c>
      <c r="M45" s="186">
        <f>+VLOOKUP($E45,[1]tb!$B$12:$AC$193,18,0)</f>
        <v>5000</v>
      </c>
      <c r="N45" s="186">
        <f>+VLOOKUP($E45,[1]tb!$B$12:$AC$193,20,0)</f>
        <v>5000</v>
      </c>
      <c r="O45" s="186">
        <f>+VLOOKUP($E45,[1]tb!$B$12:$AC$193,22,0)</f>
        <v>5000</v>
      </c>
      <c r="P45" s="186">
        <f>+VLOOKUP($E45,[1]tb!$B$12:$AC$193,24,0)</f>
        <v>5000</v>
      </c>
      <c r="Q45" s="186">
        <f>+VLOOKUP($E45,[1]tb!$B$12:$AC$193,26,0)</f>
        <v>5000</v>
      </c>
      <c r="R45" s="186">
        <f t="shared" si="3"/>
        <v>5000</v>
      </c>
    </row>
    <row r="46" spans="3:18">
      <c r="D46" s="204" t="s">
        <v>308</v>
      </c>
      <c r="E46" s="206" t="s">
        <v>86</v>
      </c>
      <c r="F46" s="186">
        <f>+VLOOKUP($E46,[1]tb!$B$12:$AC$193,4,0)</f>
        <v>17952.11</v>
      </c>
      <c r="G46" s="186">
        <f>+VLOOKUP($E46,[1]tb!$B$12:$AC$193,6,0)</f>
        <v>17952.11</v>
      </c>
      <c r="H46" s="186">
        <f>+VLOOKUP($E46,[1]tb!$B$12:$AC$193,8,0)</f>
        <v>17952.11</v>
      </c>
      <c r="I46" s="186">
        <f>+VLOOKUP($E46,[1]tb!$B$12:$AC$193,10,0)</f>
        <v>17952.11</v>
      </c>
      <c r="J46" s="186">
        <f>+VLOOKUP($E46,[1]tb!$B$12:$AC$193,12,0)</f>
        <v>17952.11</v>
      </c>
      <c r="K46" s="186">
        <f>+VLOOKUP($E46,[1]tb!$B$12:$AC$193,14,0)</f>
        <v>17952.11</v>
      </c>
      <c r="L46" s="186">
        <f>+VLOOKUP($E46,[1]tb!$B$12:$AC$193,16,0)</f>
        <v>17952.11</v>
      </c>
      <c r="M46" s="186">
        <f>+VLOOKUP($E46,[1]tb!$B$12:$AC$193,18,0)</f>
        <v>17952.11</v>
      </c>
      <c r="N46" s="186">
        <f>+VLOOKUP($E46,[1]tb!$B$12:$AC$193,20,0)</f>
        <v>17952.11</v>
      </c>
      <c r="O46" s="186">
        <f>+VLOOKUP($E46,[1]tb!$B$12:$AC$193,22,0)</f>
        <v>17952.11</v>
      </c>
      <c r="P46" s="186">
        <f>+VLOOKUP($E46,[1]tb!$B$12:$AC$193,24,0)</f>
        <v>17952.11</v>
      </c>
      <c r="Q46" s="186">
        <f>+VLOOKUP($E46,[1]tb!$B$12:$AC$193,26,0)</f>
        <v>17952.11</v>
      </c>
      <c r="R46" s="186">
        <f t="shared" si="3"/>
        <v>17952.11</v>
      </c>
    </row>
    <row r="47" spans="3:18" ht="5.0999999999999996" customHeight="1"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3:18">
      <c r="D48" s="210" t="s">
        <v>711</v>
      </c>
      <c r="F48" s="211">
        <f>+F35+F29+F23+F12</f>
        <v>2863589.8800000004</v>
      </c>
      <c r="G48" s="211">
        <f>+G35+G29+G23+G12</f>
        <v>3372136.9000000004</v>
      </c>
      <c r="H48" s="211">
        <f t="shared" ref="H48:Q48" si="6">+H35+H29+H23+H12</f>
        <v>3754963.3600000003</v>
      </c>
      <c r="I48" s="211">
        <f t="shared" si="6"/>
        <v>3754963.3600000003</v>
      </c>
      <c r="J48" s="211">
        <f t="shared" si="6"/>
        <v>3754963.3600000003</v>
      </c>
      <c r="K48" s="211">
        <f t="shared" si="6"/>
        <v>3754963.3600000003</v>
      </c>
      <c r="L48" s="211">
        <f t="shared" si="6"/>
        <v>3754963.3600000003</v>
      </c>
      <c r="M48" s="211">
        <f t="shared" si="6"/>
        <v>3754963.3600000003</v>
      </c>
      <c r="N48" s="211">
        <f t="shared" si="6"/>
        <v>3754963.3600000003</v>
      </c>
      <c r="O48" s="211">
        <f t="shared" si="6"/>
        <v>3754963.3600000003</v>
      </c>
      <c r="P48" s="211">
        <f t="shared" si="6"/>
        <v>3754963.3600000003</v>
      </c>
      <c r="Q48" s="211">
        <f t="shared" si="6"/>
        <v>3754963.3600000003</v>
      </c>
      <c r="R48" s="211">
        <f t="shared" si="3"/>
        <v>3754963.3600000003</v>
      </c>
    </row>
    <row r="49" spans="2:18" ht="5.0999999999999996" customHeight="1"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2:18">
      <c r="B50" s="208" t="s">
        <v>712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2:18" ht="5.0999999999999996" customHeight="1">
      <c r="B51" s="208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2:18">
      <c r="C52" s="208" t="s">
        <v>713</v>
      </c>
      <c r="F52" s="209">
        <f>+F53+F56+F57+F60+F63+F66+F69+F72+F75+F78+F81+F84+F85+F88</f>
        <v>27434880.300000004</v>
      </c>
      <c r="G52" s="209">
        <f>+G53+G56+G57+G60+G63+G66+G69+G72+G75+G78+G81+G84+G85+G88</f>
        <v>27251998.330000002</v>
      </c>
      <c r="H52" s="209">
        <f t="shared" ref="H52:Q52" si="7">+H53+H56+H57+H60+H63+H66+H69+H72+H75+H78+H81+H84+H85+H88</f>
        <v>27100426.740000002</v>
      </c>
      <c r="I52" s="209">
        <f t="shared" si="7"/>
        <v>27100426.740000002</v>
      </c>
      <c r="J52" s="209">
        <f t="shared" si="7"/>
        <v>27100426.740000002</v>
      </c>
      <c r="K52" s="209">
        <f t="shared" si="7"/>
        <v>27100426.740000002</v>
      </c>
      <c r="L52" s="209">
        <f t="shared" si="7"/>
        <v>27100426.740000002</v>
      </c>
      <c r="M52" s="209">
        <f t="shared" si="7"/>
        <v>27100426.740000002</v>
      </c>
      <c r="N52" s="209">
        <f t="shared" si="7"/>
        <v>27100426.740000002</v>
      </c>
      <c r="O52" s="209">
        <f t="shared" si="7"/>
        <v>27100426.740000002</v>
      </c>
      <c r="P52" s="209">
        <f t="shared" si="7"/>
        <v>27100426.740000002</v>
      </c>
      <c r="Q52" s="209">
        <f t="shared" si="7"/>
        <v>27100426.740000002</v>
      </c>
      <c r="R52" s="209">
        <f t="shared" ref="R52:R114" si="8">+Q52</f>
        <v>27100426.740000002</v>
      </c>
    </row>
    <row r="53" spans="2:18">
      <c r="D53" s="204" t="s">
        <v>254</v>
      </c>
      <c r="E53" s="206" t="s">
        <v>32</v>
      </c>
      <c r="F53" s="212">
        <f>+VLOOKUP($E53,[1]tb!$B$12:$AC$193,4,0)</f>
        <v>551250</v>
      </c>
      <c r="G53" s="212">
        <f>+VLOOKUP($E53,[1]tb!$B$12:$AC$193,6,0)</f>
        <v>551250</v>
      </c>
      <c r="H53" s="212">
        <f>+VLOOKUP($E53,[1]tb!$B$12:$AC$193,8,0)</f>
        <v>551250</v>
      </c>
      <c r="I53" s="212">
        <f>+VLOOKUP($E53,[1]tb!$B$12:$AC$193,10,0)</f>
        <v>551250</v>
      </c>
      <c r="J53" s="212">
        <f>+VLOOKUP($E53,[1]tb!$B$12:$AC$193,12,0)</f>
        <v>551250</v>
      </c>
      <c r="K53" s="212">
        <f>+VLOOKUP($E53,[1]tb!$B$12:$AC$193,14,0)</f>
        <v>551250</v>
      </c>
      <c r="L53" s="212">
        <f>+VLOOKUP($E53,[1]tb!$B$12:$AC$193,16,0)</f>
        <v>551250</v>
      </c>
      <c r="M53" s="212">
        <f>+VLOOKUP($E53,[1]tb!$B$12:$AC$193,18,0)</f>
        <v>551250</v>
      </c>
      <c r="N53" s="212">
        <f>+VLOOKUP($E53,[1]tb!$B$12:$AC$193,20,0)</f>
        <v>551250</v>
      </c>
      <c r="O53" s="212">
        <f>+VLOOKUP($E53,[1]tb!$B$12:$AC$193,22,0)</f>
        <v>551250</v>
      </c>
      <c r="P53" s="212">
        <f>+VLOOKUP($E53,[1]tb!$B$12:$AC$193,24,0)</f>
        <v>551250</v>
      </c>
      <c r="Q53" s="212">
        <f>+VLOOKUP($E53,[1]tb!$B$12:$AC$193,26,0)</f>
        <v>551250</v>
      </c>
      <c r="R53" s="212">
        <f t="shared" si="8"/>
        <v>551250</v>
      </c>
    </row>
    <row r="54" spans="2:18">
      <c r="D54" s="204" t="s">
        <v>255</v>
      </c>
      <c r="E54" s="206" t="s">
        <v>33</v>
      </c>
      <c r="F54" s="186">
        <f>+VLOOKUP($E54,[1]tb!$B$12:$AC$193,4,0)</f>
        <v>525000</v>
      </c>
      <c r="G54" s="186">
        <f>+VLOOKUP($E54,[1]tb!$B$12:$AC$193,6,0)</f>
        <v>525000</v>
      </c>
      <c r="H54" s="186">
        <f>+VLOOKUP($E54,[1]tb!$B$12:$AC$193,8,0)</f>
        <v>525000</v>
      </c>
      <c r="I54" s="186">
        <f>+VLOOKUP($E54,[1]tb!$B$12:$AC$193,10,0)</f>
        <v>525000</v>
      </c>
      <c r="J54" s="186">
        <f>+VLOOKUP($E54,[1]tb!$B$12:$AC$193,12,0)</f>
        <v>525000</v>
      </c>
      <c r="K54" s="186">
        <f>+VLOOKUP($E54,[1]tb!$B$12:$AC$193,14,0)</f>
        <v>525000</v>
      </c>
      <c r="L54" s="186">
        <f>+VLOOKUP($E54,[1]tb!$B$12:$AC$193,16,0)</f>
        <v>525000</v>
      </c>
      <c r="M54" s="186">
        <f>+VLOOKUP($E54,[1]tb!$B$12:$AC$193,18,0)</f>
        <v>525000</v>
      </c>
      <c r="N54" s="186">
        <f>+VLOOKUP($E54,[1]tb!$B$12:$AC$193,20,0)</f>
        <v>525000</v>
      </c>
      <c r="O54" s="186">
        <f>+VLOOKUP($E54,[1]tb!$B$12:$AC$193,22,0)</f>
        <v>525000</v>
      </c>
      <c r="P54" s="186">
        <f>+VLOOKUP($E54,[1]tb!$B$12:$AC$193,24,0)</f>
        <v>525000</v>
      </c>
      <c r="Q54" s="186">
        <f>+VLOOKUP($E54,[1]tb!$B$12:$AC$193,26,0)</f>
        <v>525000</v>
      </c>
      <c r="R54" s="186">
        <f t="shared" si="8"/>
        <v>525000</v>
      </c>
    </row>
    <row r="55" spans="2:18">
      <c r="D55" s="204" t="s">
        <v>256</v>
      </c>
      <c r="E55" s="206" t="s">
        <v>34</v>
      </c>
      <c r="F55" s="186">
        <f>+VLOOKUP($E55,[1]tb!$B$12:$AC$193,5,0)</f>
        <v>468759.38</v>
      </c>
      <c r="G55" s="186">
        <f>+VLOOKUP($E55,[1]tb!$B$12:$AC$193,7,0)</f>
        <v>468956.25</v>
      </c>
      <c r="H55" s="186">
        <f>+VLOOKUP($E55,[1]tb!$B$12:$AC$193,9,0)</f>
        <v>469153.13</v>
      </c>
      <c r="I55" s="186">
        <f>+VLOOKUP($E55,[1]tb!$B$12:$AC$193,11,0)</f>
        <v>469153.13</v>
      </c>
      <c r="J55" s="186">
        <f>+VLOOKUP($E55,[1]tb!$B$12:$AC$193,13,0)</f>
        <v>469153.13</v>
      </c>
      <c r="K55" s="186">
        <f>+VLOOKUP($E55,[1]tb!$B$12:$AC$193,15,0)</f>
        <v>469153.13</v>
      </c>
      <c r="L55" s="186">
        <f>+VLOOKUP($E55,[1]tb!$B$12:$AC$193,17,0)</f>
        <v>469153.13</v>
      </c>
      <c r="M55" s="186">
        <f>+VLOOKUP($E55,[1]tb!$B$12:$AC$193,19,0)</f>
        <v>469153.13</v>
      </c>
      <c r="N55" s="186">
        <f>+VLOOKUP($E55,[1]tb!$B$12:$AC$193,21,0)</f>
        <v>469153.13</v>
      </c>
      <c r="O55" s="186">
        <f>+VLOOKUP($E55,[1]tb!$B$12:$AC$193,23,0)</f>
        <v>469153.13</v>
      </c>
      <c r="P55" s="186">
        <f>+VLOOKUP($E55,[1]tb!$B$12:$AC$193,25,0)</f>
        <v>469153.13</v>
      </c>
      <c r="Q55" s="186">
        <f>+VLOOKUP($E55,[1]tb!$B$12:$AC$193,27,0)</f>
        <v>469153.13</v>
      </c>
      <c r="R55" s="186">
        <f t="shared" si="8"/>
        <v>469153.13</v>
      </c>
    </row>
    <row r="56" spans="2:18">
      <c r="D56" s="204" t="s">
        <v>536</v>
      </c>
      <c r="F56" s="212">
        <f>+F54-F55</f>
        <v>56240.619999999995</v>
      </c>
      <c r="G56" s="212">
        <f>+G54-G55</f>
        <v>56043.75</v>
      </c>
      <c r="H56" s="212">
        <f t="shared" ref="H56:Q56" si="9">+H54-H55</f>
        <v>55846.869999999995</v>
      </c>
      <c r="I56" s="212">
        <f t="shared" si="9"/>
        <v>55846.869999999995</v>
      </c>
      <c r="J56" s="212">
        <f t="shared" si="9"/>
        <v>55846.869999999995</v>
      </c>
      <c r="K56" s="212">
        <f t="shared" si="9"/>
        <v>55846.869999999995</v>
      </c>
      <c r="L56" s="212">
        <f t="shared" si="9"/>
        <v>55846.869999999995</v>
      </c>
      <c r="M56" s="212">
        <f t="shared" si="9"/>
        <v>55846.869999999995</v>
      </c>
      <c r="N56" s="212">
        <f t="shared" si="9"/>
        <v>55846.869999999995</v>
      </c>
      <c r="O56" s="212">
        <f t="shared" si="9"/>
        <v>55846.869999999995</v>
      </c>
      <c r="P56" s="212">
        <f t="shared" si="9"/>
        <v>55846.869999999995</v>
      </c>
      <c r="Q56" s="212">
        <f t="shared" si="9"/>
        <v>55846.869999999995</v>
      </c>
      <c r="R56" s="212">
        <f t="shared" si="8"/>
        <v>55846.869999999995</v>
      </c>
    </row>
    <row r="57" spans="2:18" hidden="1">
      <c r="D57" s="204" t="s">
        <v>257</v>
      </c>
      <c r="E57" s="206" t="s">
        <v>35</v>
      </c>
      <c r="F57" s="212">
        <f>+VLOOKUP($E57,[1]tb!$B$12:$AC$193,4,0)</f>
        <v>0</v>
      </c>
      <c r="G57" s="212">
        <f>+VLOOKUP($E57,[1]tb!$B$12:$AC$193,6,0)</f>
        <v>0</v>
      </c>
      <c r="H57" s="212">
        <f>+VLOOKUP($E57,[1]tb!$B$12:$AC$193,8,0)</f>
        <v>0</v>
      </c>
      <c r="I57" s="212">
        <f>+VLOOKUP($E57,[1]tb!$B$12:$AC$193,10,0)</f>
        <v>0</v>
      </c>
      <c r="J57" s="212">
        <f>+VLOOKUP($E57,[1]tb!$B$12:$AC$193,12,0)</f>
        <v>0</v>
      </c>
      <c r="K57" s="212">
        <f>+VLOOKUP($E57,[1]tb!$B$12:$AC$193,14,0)</f>
        <v>0</v>
      </c>
      <c r="L57" s="212">
        <f>+VLOOKUP($E57,[1]tb!$B$12:$AC$193,16,0)</f>
        <v>0</v>
      </c>
      <c r="M57" s="212">
        <f>+VLOOKUP($E57,[1]tb!$B$12:$AC$193,18,0)</f>
        <v>0</v>
      </c>
      <c r="N57" s="212">
        <f>+VLOOKUP($E57,[1]tb!$B$12:$AC$193,20,0)</f>
        <v>0</v>
      </c>
      <c r="O57" s="212">
        <f>+VLOOKUP($E57,[1]tb!$B$12:$AC$193,22,0)</f>
        <v>0</v>
      </c>
      <c r="P57" s="212">
        <f>+VLOOKUP($E57,[1]tb!$B$12:$AC$193,24,0)</f>
        <v>0</v>
      </c>
      <c r="Q57" s="212">
        <f>+VLOOKUP($E57,[1]tb!$B$12:$AC$193,26,0)</f>
        <v>0</v>
      </c>
      <c r="R57" s="212">
        <f t="shared" si="8"/>
        <v>0</v>
      </c>
    </row>
    <row r="58" spans="2:18">
      <c r="D58" s="204" t="s">
        <v>258</v>
      </c>
      <c r="E58" s="206" t="s">
        <v>36</v>
      </c>
      <c r="F58" s="186">
        <f>+VLOOKUP($E58,[1]tb!$B$12:$AC$193,4,0)</f>
        <v>8564966.2699999996</v>
      </c>
      <c r="G58" s="186">
        <f>+VLOOKUP($E58,[1]tb!$B$12:$AC$193,6,0)</f>
        <v>8564966.2699999996</v>
      </c>
      <c r="H58" s="186">
        <f>+VLOOKUP($E58,[1]tb!$B$12:$AC$193,8,0)</f>
        <v>8564966.2699999996</v>
      </c>
      <c r="I58" s="186">
        <f>+VLOOKUP($E58,[1]tb!$B$12:$AC$193,10,0)</f>
        <v>8564966.2699999996</v>
      </c>
      <c r="J58" s="186">
        <f>+VLOOKUP($E58,[1]tb!$B$12:$AC$193,12,0)</f>
        <v>8564966.2699999996</v>
      </c>
      <c r="K58" s="186">
        <f>+VLOOKUP($E58,[1]tb!$B$12:$AC$193,14,0)</f>
        <v>8564966.2699999996</v>
      </c>
      <c r="L58" s="186">
        <f>+VLOOKUP($E58,[1]tb!$B$12:$AC$193,16,0)</f>
        <v>8564966.2699999996</v>
      </c>
      <c r="M58" s="186">
        <f>+VLOOKUP($E58,[1]tb!$B$12:$AC$193,18,0)</f>
        <v>8564966.2699999996</v>
      </c>
      <c r="N58" s="186">
        <f>+VLOOKUP($E58,[1]tb!$B$12:$AC$193,20,0)</f>
        <v>8564966.2699999996</v>
      </c>
      <c r="O58" s="186">
        <f>+VLOOKUP($E58,[1]tb!$B$12:$AC$193,22,0)</f>
        <v>8564966.2699999996</v>
      </c>
      <c r="P58" s="186">
        <f>+VLOOKUP($E58,[1]tb!$B$12:$AC$193,24,0)</f>
        <v>8564966.2699999996</v>
      </c>
      <c r="Q58" s="186">
        <f>+VLOOKUP($E58,[1]tb!$B$12:$AC$193,26,0)</f>
        <v>8564966.2699999996</v>
      </c>
      <c r="R58" s="186">
        <f t="shared" si="8"/>
        <v>8564966.2699999996</v>
      </c>
    </row>
    <row r="59" spans="2:18">
      <c r="D59" s="204" t="s">
        <v>259</v>
      </c>
      <c r="E59" s="206" t="s">
        <v>37</v>
      </c>
      <c r="F59" s="186">
        <f>+VLOOKUP($E59,[1]tb!$B$12:$AC$193,5,0)</f>
        <v>1875639.8599999999</v>
      </c>
      <c r="G59" s="186">
        <f>+VLOOKUP($E59,[1]tb!$B$12:$AC$193,7,0)</f>
        <v>1895952.2699999998</v>
      </c>
      <c r="H59" s="186">
        <f>+VLOOKUP($E59,[1]tb!$B$12:$AC$193,9,0)</f>
        <v>1916264.6899999997</v>
      </c>
      <c r="I59" s="186">
        <f>+VLOOKUP($E59,[1]tb!$B$12:$AC$193,11,0)</f>
        <v>1916264.6899999997</v>
      </c>
      <c r="J59" s="186">
        <f>+VLOOKUP($E59,[1]tb!$B$12:$AC$193,13,0)</f>
        <v>1916264.6899999997</v>
      </c>
      <c r="K59" s="186">
        <f>+VLOOKUP($E59,[1]tb!$B$12:$AC$193,15,0)</f>
        <v>1916264.6899999997</v>
      </c>
      <c r="L59" s="186">
        <f>+VLOOKUP($E59,[1]tb!$B$12:$AC$193,17,0)</f>
        <v>1916264.6899999997</v>
      </c>
      <c r="M59" s="186">
        <f>+VLOOKUP($E59,[1]tb!$B$12:$AC$193,19,0)</f>
        <v>1916264.6899999997</v>
      </c>
      <c r="N59" s="186">
        <f>+VLOOKUP($E59,[1]tb!$B$12:$AC$193,21,0)</f>
        <v>1916264.6899999997</v>
      </c>
      <c r="O59" s="186">
        <f>+VLOOKUP($E59,[1]tb!$B$12:$AC$193,23,0)</f>
        <v>1916264.6899999997</v>
      </c>
      <c r="P59" s="186">
        <f>+VLOOKUP($E59,[1]tb!$B$12:$AC$193,25,0)</f>
        <v>1916264.6899999997</v>
      </c>
      <c r="Q59" s="186">
        <f>+VLOOKUP($E59,[1]tb!$B$12:$AC$193,27,0)</f>
        <v>1916264.6899999997</v>
      </c>
      <c r="R59" s="186">
        <f t="shared" si="8"/>
        <v>1916264.6899999997</v>
      </c>
    </row>
    <row r="60" spans="2:18">
      <c r="D60" s="204" t="s">
        <v>536</v>
      </c>
      <c r="F60" s="212">
        <f>+F58-F59</f>
        <v>6689326.4100000001</v>
      </c>
      <c r="G60" s="212">
        <f>+G58-G59</f>
        <v>6669014</v>
      </c>
      <c r="H60" s="212">
        <f t="shared" ref="H60:Q60" si="10">+H58-H59</f>
        <v>6648701.5800000001</v>
      </c>
      <c r="I60" s="212">
        <f t="shared" si="10"/>
        <v>6648701.5800000001</v>
      </c>
      <c r="J60" s="212">
        <f t="shared" si="10"/>
        <v>6648701.5800000001</v>
      </c>
      <c r="K60" s="212">
        <f t="shared" si="10"/>
        <v>6648701.5800000001</v>
      </c>
      <c r="L60" s="212">
        <f t="shared" si="10"/>
        <v>6648701.5800000001</v>
      </c>
      <c r="M60" s="212">
        <f t="shared" si="10"/>
        <v>6648701.5800000001</v>
      </c>
      <c r="N60" s="212">
        <f t="shared" si="10"/>
        <v>6648701.5800000001</v>
      </c>
      <c r="O60" s="212">
        <f t="shared" si="10"/>
        <v>6648701.5800000001</v>
      </c>
      <c r="P60" s="212">
        <f t="shared" si="10"/>
        <v>6648701.5800000001</v>
      </c>
      <c r="Q60" s="212">
        <f t="shared" si="10"/>
        <v>6648701.5800000001</v>
      </c>
      <c r="R60" s="212">
        <f t="shared" si="8"/>
        <v>6648701.5800000001</v>
      </c>
    </row>
    <row r="61" spans="2:18" hidden="1">
      <c r="D61" s="204" t="s">
        <v>260</v>
      </c>
      <c r="E61" s="206" t="s">
        <v>38</v>
      </c>
      <c r="F61" s="186">
        <f>+VLOOKUP($E61,[1]tb!$B$12:$AC$193,4,0)</f>
        <v>0</v>
      </c>
      <c r="G61" s="186">
        <f>+VLOOKUP($E61,[1]tb!$B$12:$AC$193,6,0)</f>
        <v>0</v>
      </c>
      <c r="H61" s="186">
        <f>+VLOOKUP($E61,[1]tb!$B$12:$AC$193,8,0)</f>
        <v>0</v>
      </c>
      <c r="I61" s="186">
        <f>+VLOOKUP($E61,[1]tb!$B$12:$AC$193,10,0)</f>
        <v>0</v>
      </c>
      <c r="J61" s="186">
        <f>+VLOOKUP($E61,[1]tb!$B$12:$AC$193,12,0)</f>
        <v>0</v>
      </c>
      <c r="K61" s="186">
        <f>+VLOOKUP($E61,[1]tb!$B$12:$AC$193,14,0)</f>
        <v>0</v>
      </c>
      <c r="L61" s="186">
        <f>+VLOOKUP($E61,[1]tb!$B$12:$AC$193,16,0)</f>
        <v>0</v>
      </c>
      <c r="M61" s="186">
        <f>+VLOOKUP($E61,[1]tb!$B$12:$AC$193,18,0)</f>
        <v>0</v>
      </c>
      <c r="N61" s="186">
        <f>+VLOOKUP($E61,[1]tb!$B$12:$AC$193,20,0)</f>
        <v>0</v>
      </c>
      <c r="O61" s="186">
        <f>+VLOOKUP($E61,[1]tb!$B$12:$AC$193,22,0)</f>
        <v>0</v>
      </c>
      <c r="P61" s="186">
        <f>+VLOOKUP($E61,[1]tb!$B$12:$AC$193,24,0)</f>
        <v>0</v>
      </c>
      <c r="Q61" s="186">
        <f>+VLOOKUP($E61,[1]tb!$B$12:$AC$193,26,0)</f>
        <v>0</v>
      </c>
      <c r="R61" s="186">
        <f t="shared" si="8"/>
        <v>0</v>
      </c>
    </row>
    <row r="62" spans="2:18" hidden="1">
      <c r="D62" s="204" t="s">
        <v>261</v>
      </c>
      <c r="E62" s="206" t="s">
        <v>39</v>
      </c>
      <c r="F62" s="186">
        <f>+VLOOKUP($E62,[1]tb!$B$12:$AC$193,5,0)</f>
        <v>0</v>
      </c>
      <c r="G62" s="186">
        <f>+VLOOKUP($E62,[1]tb!$B$12:$AC$193,7,0)</f>
        <v>0</v>
      </c>
      <c r="H62" s="186">
        <f>+VLOOKUP($E62,[1]tb!$B$12:$AC$193,9,0)</f>
        <v>0</v>
      </c>
      <c r="I62" s="186">
        <f>+VLOOKUP($E62,[1]tb!$B$12:$AC$193,11,0)</f>
        <v>0</v>
      </c>
      <c r="J62" s="186">
        <f>+VLOOKUP($E62,[1]tb!$B$12:$AC$193,13,0)</f>
        <v>0</v>
      </c>
      <c r="K62" s="186">
        <f>+VLOOKUP($E62,[1]tb!$B$12:$AC$193,15,0)</f>
        <v>0</v>
      </c>
      <c r="L62" s="186">
        <f>+VLOOKUP($E62,[1]tb!$B$12:$AC$193,17,0)</f>
        <v>0</v>
      </c>
      <c r="M62" s="186">
        <f>+VLOOKUP($E62,[1]tb!$B$12:$AC$193,19,0)</f>
        <v>0</v>
      </c>
      <c r="N62" s="186">
        <f>+VLOOKUP($E62,[1]tb!$B$12:$AC$193,21,0)</f>
        <v>0</v>
      </c>
      <c r="O62" s="186">
        <f>+VLOOKUP($E62,[1]tb!$B$12:$AC$193,23,0)</f>
        <v>0</v>
      </c>
      <c r="P62" s="186">
        <f>+VLOOKUP($E62,[1]tb!$B$12:$AC$193,25,0)</f>
        <v>0</v>
      </c>
      <c r="Q62" s="186">
        <f>+VLOOKUP($E62,[1]tb!$B$12:$AC$193,27,0)</f>
        <v>0</v>
      </c>
      <c r="R62" s="186">
        <f t="shared" si="8"/>
        <v>0</v>
      </c>
    </row>
    <row r="63" spans="2:18" hidden="1">
      <c r="D63" s="204" t="s">
        <v>536</v>
      </c>
      <c r="F63" s="212">
        <f>+F61-F62</f>
        <v>0</v>
      </c>
      <c r="G63" s="212">
        <f>+G61-G62</f>
        <v>0</v>
      </c>
      <c r="H63" s="212">
        <f t="shared" ref="H63:Q63" si="11">+H61-H62</f>
        <v>0</v>
      </c>
      <c r="I63" s="212">
        <f t="shared" si="11"/>
        <v>0</v>
      </c>
      <c r="J63" s="212">
        <f t="shared" si="11"/>
        <v>0</v>
      </c>
      <c r="K63" s="212">
        <f t="shared" si="11"/>
        <v>0</v>
      </c>
      <c r="L63" s="212">
        <f t="shared" si="11"/>
        <v>0</v>
      </c>
      <c r="M63" s="212">
        <f t="shared" si="11"/>
        <v>0</v>
      </c>
      <c r="N63" s="212">
        <f t="shared" si="11"/>
        <v>0</v>
      </c>
      <c r="O63" s="212">
        <f t="shared" si="11"/>
        <v>0</v>
      </c>
      <c r="P63" s="212">
        <f t="shared" si="11"/>
        <v>0</v>
      </c>
      <c r="Q63" s="212">
        <f t="shared" si="11"/>
        <v>0</v>
      </c>
      <c r="R63" s="212">
        <f t="shared" si="8"/>
        <v>0</v>
      </c>
    </row>
    <row r="64" spans="2:18" hidden="1">
      <c r="D64" s="204" t="s">
        <v>262</v>
      </c>
      <c r="E64" s="206" t="s">
        <v>40</v>
      </c>
      <c r="F64" s="186">
        <f>+VLOOKUP($E64,[1]tb!$B$12:$AC$193,4,0)</f>
        <v>0</v>
      </c>
      <c r="G64" s="186">
        <f>+VLOOKUP($E64,[1]tb!$B$12:$AC$193,6,0)</f>
        <v>0</v>
      </c>
      <c r="H64" s="186">
        <f>+VLOOKUP($E64,[1]tb!$B$12:$AC$193,8,0)</f>
        <v>0</v>
      </c>
      <c r="I64" s="186">
        <f>+VLOOKUP($E64,[1]tb!$B$12:$AC$193,10,0)</f>
        <v>0</v>
      </c>
      <c r="J64" s="186">
        <f>+VLOOKUP($E64,[1]tb!$B$12:$AC$193,12,0)</f>
        <v>0</v>
      </c>
      <c r="K64" s="186">
        <f>+VLOOKUP($E64,[1]tb!$B$12:$AC$193,14,0)</f>
        <v>0</v>
      </c>
      <c r="L64" s="186">
        <f>+VLOOKUP($E64,[1]tb!$B$12:$AC$193,16,0)</f>
        <v>0</v>
      </c>
      <c r="M64" s="186">
        <f>+VLOOKUP($E64,[1]tb!$B$12:$AC$193,18,0)</f>
        <v>0</v>
      </c>
      <c r="N64" s="186">
        <f>+VLOOKUP($E64,[1]tb!$B$12:$AC$193,20,0)</f>
        <v>0</v>
      </c>
      <c r="O64" s="186">
        <f>+VLOOKUP($E64,[1]tb!$B$12:$AC$193,22,0)</f>
        <v>0</v>
      </c>
      <c r="P64" s="186">
        <f>+VLOOKUP($E64,[1]tb!$B$12:$AC$193,24,0)</f>
        <v>0</v>
      </c>
      <c r="Q64" s="186">
        <f>+VLOOKUP($E64,[1]tb!$B$12:$AC$193,26,0)</f>
        <v>0</v>
      </c>
      <c r="R64" s="186">
        <f t="shared" si="8"/>
        <v>0</v>
      </c>
    </row>
    <row r="65" spans="4:18" hidden="1">
      <c r="D65" s="204" t="s">
        <v>263</v>
      </c>
      <c r="E65" s="206" t="s">
        <v>41</v>
      </c>
      <c r="F65" s="186">
        <f>+VLOOKUP($E65,[1]tb!$B$12:$AC$193,5,0)</f>
        <v>0</v>
      </c>
      <c r="G65" s="186">
        <f>+VLOOKUP($E65,[1]tb!$B$12:$AC$193,7,0)</f>
        <v>0</v>
      </c>
      <c r="H65" s="186">
        <f>+VLOOKUP($E65,[1]tb!$B$12:$AC$193,9,0)</f>
        <v>0</v>
      </c>
      <c r="I65" s="186">
        <f>+VLOOKUP($E65,[1]tb!$B$12:$AC$193,11,0)</f>
        <v>0</v>
      </c>
      <c r="J65" s="186">
        <f>+VLOOKUP($E65,[1]tb!$B$12:$AC$193,13,0)</f>
        <v>0</v>
      </c>
      <c r="K65" s="186">
        <f>+VLOOKUP($E65,[1]tb!$B$12:$AC$193,15,0)</f>
        <v>0</v>
      </c>
      <c r="L65" s="186">
        <f>+VLOOKUP($E65,[1]tb!$B$12:$AC$193,17,0)</f>
        <v>0</v>
      </c>
      <c r="M65" s="186">
        <f>+VLOOKUP($E65,[1]tb!$B$12:$AC$193,19,0)</f>
        <v>0</v>
      </c>
      <c r="N65" s="186">
        <f>+VLOOKUP($E65,[1]tb!$B$12:$AC$193,21,0)</f>
        <v>0</v>
      </c>
      <c r="O65" s="186">
        <f>+VLOOKUP($E65,[1]tb!$B$12:$AC$193,23,0)</f>
        <v>0</v>
      </c>
      <c r="P65" s="186">
        <f>+VLOOKUP($E65,[1]tb!$B$12:$AC$193,25,0)</f>
        <v>0</v>
      </c>
      <c r="Q65" s="186">
        <f>+VLOOKUP($E65,[1]tb!$B$12:$AC$193,27,0)</f>
        <v>0</v>
      </c>
      <c r="R65" s="186">
        <f t="shared" si="8"/>
        <v>0</v>
      </c>
    </row>
    <row r="66" spans="4:18" hidden="1">
      <c r="D66" s="204" t="s">
        <v>536</v>
      </c>
      <c r="F66" s="212">
        <f>+F64-F65</f>
        <v>0</v>
      </c>
      <c r="G66" s="212">
        <f>+G64-G65</f>
        <v>0</v>
      </c>
      <c r="H66" s="212">
        <f t="shared" ref="H66:Q66" si="12">+H64-H65</f>
        <v>0</v>
      </c>
      <c r="I66" s="212">
        <f t="shared" si="12"/>
        <v>0</v>
      </c>
      <c r="J66" s="212">
        <f t="shared" si="12"/>
        <v>0</v>
      </c>
      <c r="K66" s="212">
        <f t="shared" si="12"/>
        <v>0</v>
      </c>
      <c r="L66" s="212">
        <f t="shared" si="12"/>
        <v>0</v>
      </c>
      <c r="M66" s="212">
        <f t="shared" si="12"/>
        <v>0</v>
      </c>
      <c r="N66" s="212">
        <f t="shared" si="12"/>
        <v>0</v>
      </c>
      <c r="O66" s="212">
        <f t="shared" si="12"/>
        <v>0</v>
      </c>
      <c r="P66" s="212">
        <f t="shared" si="12"/>
        <v>0</v>
      </c>
      <c r="Q66" s="212">
        <f t="shared" si="12"/>
        <v>0</v>
      </c>
      <c r="R66" s="212">
        <f t="shared" si="8"/>
        <v>0</v>
      </c>
    </row>
    <row r="67" spans="4:18">
      <c r="D67" s="204" t="s">
        <v>264</v>
      </c>
      <c r="E67" s="206" t="s">
        <v>42</v>
      </c>
      <c r="F67" s="186">
        <f>+VLOOKUP($E67,[1]tb!$B$12:$AC$193,4,0)</f>
        <v>1267376</v>
      </c>
      <c r="G67" s="186">
        <f>+VLOOKUP($E67,[1]tb!$B$12:$AC$193,6,0)</f>
        <v>1267376</v>
      </c>
      <c r="H67" s="186">
        <f>+VLOOKUP($E67,[1]tb!$B$12:$AC$193,8,0)</f>
        <v>1267376</v>
      </c>
      <c r="I67" s="186">
        <f>+VLOOKUP($E67,[1]tb!$B$12:$AC$193,10,0)</f>
        <v>1267376</v>
      </c>
      <c r="J67" s="186">
        <f>+VLOOKUP($E67,[1]tb!$B$12:$AC$193,12,0)</f>
        <v>1267376</v>
      </c>
      <c r="K67" s="186">
        <f>+VLOOKUP($E67,[1]tb!$B$12:$AC$193,14,0)</f>
        <v>1267376</v>
      </c>
      <c r="L67" s="186">
        <f>+VLOOKUP($E67,[1]tb!$B$12:$AC$193,16,0)</f>
        <v>1267376</v>
      </c>
      <c r="M67" s="186">
        <f>+VLOOKUP($E67,[1]tb!$B$12:$AC$193,18,0)</f>
        <v>1267376</v>
      </c>
      <c r="N67" s="186">
        <f>+VLOOKUP($E67,[1]tb!$B$12:$AC$193,20,0)</f>
        <v>1267376</v>
      </c>
      <c r="O67" s="186">
        <f>+VLOOKUP($E67,[1]tb!$B$12:$AC$193,22,0)</f>
        <v>1267376</v>
      </c>
      <c r="P67" s="186">
        <f>+VLOOKUP($E67,[1]tb!$B$12:$AC$193,24,0)</f>
        <v>1267376</v>
      </c>
      <c r="Q67" s="186">
        <f>+VLOOKUP($E67,[1]tb!$B$12:$AC$193,26,0)</f>
        <v>1267376</v>
      </c>
      <c r="R67" s="186">
        <f t="shared" si="8"/>
        <v>1267376</v>
      </c>
    </row>
    <row r="68" spans="4:18">
      <c r="D68" s="204" t="s">
        <v>265</v>
      </c>
      <c r="E68" s="206" t="s">
        <v>43</v>
      </c>
      <c r="F68" s="186">
        <f>+VLOOKUP($E68,[1]tb!$B$12:$AC$193,5,0)</f>
        <v>948903.30999999994</v>
      </c>
      <c r="G68" s="186">
        <f>+VLOOKUP($E68,[1]tb!$B$12:$AC$193,7,0)</f>
        <v>954828.37999999989</v>
      </c>
      <c r="H68" s="186">
        <f>+VLOOKUP($E68,[1]tb!$B$12:$AC$193,9,0)</f>
        <v>960753.45999999985</v>
      </c>
      <c r="I68" s="186">
        <f>+VLOOKUP($E68,[1]tb!$B$12:$AC$193,11,0)</f>
        <v>960753.45999999985</v>
      </c>
      <c r="J68" s="186">
        <f>+VLOOKUP($E68,[1]tb!$B$12:$AC$193,13,0)</f>
        <v>960753.45999999985</v>
      </c>
      <c r="K68" s="186">
        <f>+VLOOKUP($E68,[1]tb!$B$12:$AC$193,15,0)</f>
        <v>960753.45999999985</v>
      </c>
      <c r="L68" s="186">
        <f>+VLOOKUP($E68,[1]tb!$B$12:$AC$193,17,0)</f>
        <v>960753.45999999985</v>
      </c>
      <c r="M68" s="186">
        <f>+VLOOKUP($E68,[1]tb!$B$12:$AC$193,19,0)</f>
        <v>960753.45999999985</v>
      </c>
      <c r="N68" s="186">
        <f>+VLOOKUP($E68,[1]tb!$B$12:$AC$193,21,0)</f>
        <v>960753.45999999985</v>
      </c>
      <c r="O68" s="186">
        <f>+VLOOKUP($E68,[1]tb!$B$12:$AC$193,23,0)</f>
        <v>960753.45999999985</v>
      </c>
      <c r="P68" s="186">
        <f>+VLOOKUP($E68,[1]tb!$B$12:$AC$193,25,0)</f>
        <v>960753.45999999985</v>
      </c>
      <c r="Q68" s="186">
        <f>+VLOOKUP($E68,[1]tb!$B$12:$AC$193,27,0)</f>
        <v>960753.45999999985</v>
      </c>
      <c r="R68" s="186">
        <f t="shared" si="8"/>
        <v>960753.45999999985</v>
      </c>
    </row>
    <row r="69" spans="4:18">
      <c r="D69" s="204" t="s">
        <v>536</v>
      </c>
      <c r="F69" s="212">
        <f>+F67-F68</f>
        <v>318472.69000000006</v>
      </c>
      <c r="G69" s="212">
        <f>+G67-G68</f>
        <v>312547.62000000011</v>
      </c>
      <c r="H69" s="212">
        <f t="shared" ref="H69:Q69" si="13">+H67-H68</f>
        <v>306622.54000000015</v>
      </c>
      <c r="I69" s="212">
        <f t="shared" si="13"/>
        <v>306622.54000000015</v>
      </c>
      <c r="J69" s="212">
        <f t="shared" si="13"/>
        <v>306622.54000000015</v>
      </c>
      <c r="K69" s="212">
        <f t="shared" si="13"/>
        <v>306622.54000000015</v>
      </c>
      <c r="L69" s="212">
        <f t="shared" si="13"/>
        <v>306622.54000000015</v>
      </c>
      <c r="M69" s="212">
        <f t="shared" si="13"/>
        <v>306622.54000000015</v>
      </c>
      <c r="N69" s="212">
        <f t="shared" si="13"/>
        <v>306622.54000000015</v>
      </c>
      <c r="O69" s="212">
        <f t="shared" si="13"/>
        <v>306622.54000000015</v>
      </c>
      <c r="P69" s="212">
        <f t="shared" si="13"/>
        <v>306622.54000000015</v>
      </c>
      <c r="Q69" s="212">
        <f t="shared" si="13"/>
        <v>306622.54000000015</v>
      </c>
      <c r="R69" s="212">
        <f t="shared" si="8"/>
        <v>306622.54000000015</v>
      </c>
    </row>
    <row r="70" spans="4:18">
      <c r="D70" s="204" t="s">
        <v>266</v>
      </c>
      <c r="E70" s="206" t="s">
        <v>44</v>
      </c>
      <c r="F70" s="186">
        <f>+VLOOKUP($E70,[1]tb!$B$12:$AC$193,4,0)</f>
        <v>5320523.72</v>
      </c>
      <c r="G70" s="186">
        <f>+VLOOKUP($E70,[1]tb!$B$12:$AC$193,6,0)</f>
        <v>5320523.72</v>
      </c>
      <c r="H70" s="186">
        <f>+VLOOKUP($E70,[1]tb!$B$12:$AC$193,8,0)</f>
        <v>5320523.72</v>
      </c>
      <c r="I70" s="186">
        <f>+VLOOKUP($E70,[1]tb!$B$12:$AC$193,10,0)</f>
        <v>5320523.72</v>
      </c>
      <c r="J70" s="186">
        <f>+VLOOKUP($E70,[1]tb!$B$12:$AC$193,12,0)</f>
        <v>5320523.72</v>
      </c>
      <c r="K70" s="186">
        <f>+VLOOKUP($E70,[1]tb!$B$12:$AC$193,14,0)</f>
        <v>5320523.72</v>
      </c>
      <c r="L70" s="186">
        <f>+VLOOKUP($E70,[1]tb!$B$12:$AC$193,16,0)</f>
        <v>5320523.72</v>
      </c>
      <c r="M70" s="186">
        <f>+VLOOKUP($E70,[1]tb!$B$12:$AC$193,18,0)</f>
        <v>5320523.72</v>
      </c>
      <c r="N70" s="186">
        <f>+VLOOKUP($E70,[1]tb!$B$12:$AC$193,20,0)</f>
        <v>5320523.72</v>
      </c>
      <c r="O70" s="186">
        <f>+VLOOKUP($E70,[1]tb!$B$12:$AC$193,22,0)</f>
        <v>5320523.72</v>
      </c>
      <c r="P70" s="186">
        <f>+VLOOKUP($E70,[1]tb!$B$12:$AC$193,24,0)</f>
        <v>5320523.72</v>
      </c>
      <c r="Q70" s="186">
        <f>+VLOOKUP($E70,[1]tb!$B$12:$AC$193,26,0)</f>
        <v>5320523.72</v>
      </c>
      <c r="R70" s="186">
        <f t="shared" si="8"/>
        <v>5320523.72</v>
      </c>
    </row>
    <row r="71" spans="4:18">
      <c r="D71" s="204" t="s">
        <v>267</v>
      </c>
      <c r="E71" s="206" t="s">
        <v>45</v>
      </c>
      <c r="F71" s="186">
        <f>+VLOOKUP($E71,[1]tb!$B$12:$AC$193,5,0)</f>
        <v>4100202.84</v>
      </c>
      <c r="G71" s="186">
        <f>+VLOOKUP($E71,[1]tb!$B$12:$AC$193,7,0)</f>
        <v>4124453.86</v>
      </c>
      <c r="H71" s="186">
        <f>+VLOOKUP($E71,[1]tb!$B$12:$AC$193,9,0)</f>
        <v>4148705.3</v>
      </c>
      <c r="I71" s="186">
        <f>+VLOOKUP($E71,[1]tb!$B$12:$AC$193,11,0)</f>
        <v>4148705.3</v>
      </c>
      <c r="J71" s="186">
        <f>+VLOOKUP($E71,[1]tb!$B$12:$AC$193,13,0)</f>
        <v>4148705.3</v>
      </c>
      <c r="K71" s="186">
        <f>+VLOOKUP($E71,[1]tb!$B$12:$AC$193,15,0)</f>
        <v>4148705.3</v>
      </c>
      <c r="L71" s="186">
        <f>+VLOOKUP($E71,[1]tb!$B$12:$AC$193,17,0)</f>
        <v>4148705.3</v>
      </c>
      <c r="M71" s="186">
        <f>+VLOOKUP($E71,[1]tb!$B$12:$AC$193,19,0)</f>
        <v>4148705.3</v>
      </c>
      <c r="N71" s="186">
        <f>+VLOOKUP($E71,[1]tb!$B$12:$AC$193,21,0)</f>
        <v>4148705.3</v>
      </c>
      <c r="O71" s="186">
        <f>+VLOOKUP($E71,[1]tb!$B$12:$AC$193,23,0)</f>
        <v>4148705.3</v>
      </c>
      <c r="P71" s="186">
        <f>+VLOOKUP($E71,[1]tb!$B$12:$AC$193,25,0)</f>
        <v>4148705.3</v>
      </c>
      <c r="Q71" s="186">
        <f>+VLOOKUP($E71,[1]tb!$B$12:$AC$193,27,0)</f>
        <v>4148705.3</v>
      </c>
      <c r="R71" s="186">
        <f t="shared" si="8"/>
        <v>4148705.3</v>
      </c>
    </row>
    <row r="72" spans="4:18">
      <c r="D72" s="204" t="s">
        <v>536</v>
      </c>
      <c r="F72" s="212">
        <f>+F70-F71</f>
        <v>1220320.8799999999</v>
      </c>
      <c r="G72" s="212">
        <f>+G70-G71</f>
        <v>1196069.8599999999</v>
      </c>
      <c r="H72" s="212">
        <f t="shared" ref="H72:Q72" si="14">+H70-H71</f>
        <v>1171818.42</v>
      </c>
      <c r="I72" s="212">
        <f t="shared" si="14"/>
        <v>1171818.42</v>
      </c>
      <c r="J72" s="212">
        <f t="shared" si="14"/>
        <v>1171818.42</v>
      </c>
      <c r="K72" s="212">
        <f t="shared" si="14"/>
        <v>1171818.42</v>
      </c>
      <c r="L72" s="212">
        <f t="shared" si="14"/>
        <v>1171818.42</v>
      </c>
      <c r="M72" s="212">
        <f t="shared" si="14"/>
        <v>1171818.42</v>
      </c>
      <c r="N72" s="212">
        <f t="shared" si="14"/>
        <v>1171818.42</v>
      </c>
      <c r="O72" s="212">
        <f t="shared" si="14"/>
        <v>1171818.42</v>
      </c>
      <c r="P72" s="212">
        <f t="shared" si="14"/>
        <v>1171818.42</v>
      </c>
      <c r="Q72" s="212">
        <f t="shared" si="14"/>
        <v>1171818.42</v>
      </c>
      <c r="R72" s="212">
        <f t="shared" si="8"/>
        <v>1171818.42</v>
      </c>
    </row>
    <row r="73" spans="4:18">
      <c r="D73" s="204" t="s">
        <v>268</v>
      </c>
      <c r="E73" s="206" t="s">
        <v>46</v>
      </c>
      <c r="F73" s="186">
        <f>+VLOOKUP($E73,[1]tb!$B$12:$AC$193,4,0)</f>
        <v>58765</v>
      </c>
      <c r="G73" s="186">
        <f>+VLOOKUP($E73,[1]tb!$B$12:$AC$193,6,0)</f>
        <v>58765</v>
      </c>
      <c r="H73" s="186">
        <f>+VLOOKUP($E73,[1]tb!$B$12:$AC$193,8,0)</f>
        <v>58765</v>
      </c>
      <c r="I73" s="186">
        <f>+VLOOKUP($E73,[1]tb!$B$12:$AC$193,10,0)</f>
        <v>58765</v>
      </c>
      <c r="J73" s="186">
        <f>+VLOOKUP($E73,[1]tb!$B$12:$AC$193,12,0)</f>
        <v>58765</v>
      </c>
      <c r="K73" s="186">
        <f>+VLOOKUP($E73,[1]tb!$B$12:$AC$193,14,0)</f>
        <v>58765</v>
      </c>
      <c r="L73" s="186">
        <f>+VLOOKUP($E73,[1]tb!$B$12:$AC$193,16,0)</f>
        <v>58765</v>
      </c>
      <c r="M73" s="186">
        <f>+VLOOKUP($E73,[1]tb!$B$12:$AC$193,18,0)</f>
        <v>58765</v>
      </c>
      <c r="N73" s="186">
        <f>+VLOOKUP($E73,[1]tb!$B$12:$AC$193,20,0)</f>
        <v>58765</v>
      </c>
      <c r="O73" s="186">
        <f>+VLOOKUP($E73,[1]tb!$B$12:$AC$193,22,0)</f>
        <v>58765</v>
      </c>
      <c r="P73" s="186">
        <f>+VLOOKUP($E73,[1]tb!$B$12:$AC$193,24,0)</f>
        <v>58765</v>
      </c>
      <c r="Q73" s="186">
        <f>+VLOOKUP($E73,[1]tb!$B$12:$AC$193,26,0)</f>
        <v>58765</v>
      </c>
      <c r="R73" s="186">
        <f t="shared" si="8"/>
        <v>58765</v>
      </c>
    </row>
    <row r="74" spans="4:18">
      <c r="D74" s="204" t="s">
        <v>269</v>
      </c>
      <c r="E74" s="206" t="s">
        <v>47</v>
      </c>
      <c r="F74" s="186">
        <f>+VLOOKUP($E74,[1]tb!$B$12:$AC$193,5,0)</f>
        <v>38305.71</v>
      </c>
      <c r="G74" s="186">
        <f>+VLOOKUP($E74,[1]tb!$B$12:$AC$193,7,0)</f>
        <v>38528.94</v>
      </c>
      <c r="H74" s="186">
        <f>+VLOOKUP($E74,[1]tb!$B$12:$AC$193,9,0)</f>
        <v>38752.18</v>
      </c>
      <c r="I74" s="186">
        <f>+VLOOKUP($E74,[1]tb!$B$12:$AC$193,11,0)</f>
        <v>38752.18</v>
      </c>
      <c r="J74" s="186">
        <f>+VLOOKUP($E74,[1]tb!$B$12:$AC$193,13,0)</f>
        <v>38752.18</v>
      </c>
      <c r="K74" s="186">
        <f>+VLOOKUP($E74,[1]tb!$B$12:$AC$193,15,0)</f>
        <v>38752.18</v>
      </c>
      <c r="L74" s="186">
        <f>+VLOOKUP($E74,[1]tb!$B$12:$AC$193,17,0)</f>
        <v>38752.18</v>
      </c>
      <c r="M74" s="186">
        <f>+VLOOKUP($E74,[1]tb!$B$12:$AC$193,19,0)</f>
        <v>38752.18</v>
      </c>
      <c r="N74" s="186">
        <f>+VLOOKUP($E74,[1]tb!$B$12:$AC$193,21,0)</f>
        <v>38752.18</v>
      </c>
      <c r="O74" s="186">
        <f>+VLOOKUP($E74,[1]tb!$B$12:$AC$193,23,0)</f>
        <v>38752.18</v>
      </c>
      <c r="P74" s="186">
        <f>+VLOOKUP($E74,[1]tb!$B$12:$AC$193,25,0)</f>
        <v>38752.18</v>
      </c>
      <c r="Q74" s="186">
        <f>+VLOOKUP($E74,[1]tb!$B$12:$AC$193,27,0)</f>
        <v>38752.18</v>
      </c>
      <c r="R74" s="186">
        <f t="shared" si="8"/>
        <v>38752.18</v>
      </c>
    </row>
    <row r="75" spans="4:18">
      <c r="D75" s="204" t="s">
        <v>536</v>
      </c>
      <c r="F75" s="212">
        <f>+F73-F74</f>
        <v>20459.29</v>
      </c>
      <c r="G75" s="212">
        <f>+G73-G74</f>
        <v>20236.059999999998</v>
      </c>
      <c r="H75" s="212">
        <f t="shared" ref="H75:Q75" si="15">+H73-H74</f>
        <v>20012.82</v>
      </c>
      <c r="I75" s="212">
        <f t="shared" si="15"/>
        <v>20012.82</v>
      </c>
      <c r="J75" s="212">
        <f t="shared" si="15"/>
        <v>20012.82</v>
      </c>
      <c r="K75" s="212">
        <f t="shared" si="15"/>
        <v>20012.82</v>
      </c>
      <c r="L75" s="212">
        <f t="shared" si="15"/>
        <v>20012.82</v>
      </c>
      <c r="M75" s="212">
        <f t="shared" si="15"/>
        <v>20012.82</v>
      </c>
      <c r="N75" s="212">
        <f t="shared" si="15"/>
        <v>20012.82</v>
      </c>
      <c r="O75" s="212">
        <f t="shared" si="15"/>
        <v>20012.82</v>
      </c>
      <c r="P75" s="212">
        <f t="shared" si="15"/>
        <v>20012.82</v>
      </c>
      <c r="Q75" s="212">
        <f t="shared" si="15"/>
        <v>20012.82</v>
      </c>
      <c r="R75" s="212">
        <f t="shared" si="8"/>
        <v>20012.82</v>
      </c>
    </row>
    <row r="76" spans="4:18">
      <c r="D76" s="204" t="s">
        <v>280</v>
      </c>
      <c r="E76" s="206" t="s">
        <v>58</v>
      </c>
      <c r="F76" s="186">
        <f>+VLOOKUP($E76,[1]tb!$B$12:$AC$193,4,0)</f>
        <v>14083970.4</v>
      </c>
      <c r="G76" s="186">
        <f>+VLOOKUP($E76,[1]tb!$B$12:$AC$193,6,0)</f>
        <v>14083970.4</v>
      </c>
      <c r="H76" s="186">
        <f>+VLOOKUP($E76,[1]tb!$B$12:$AC$193,8,0)</f>
        <v>14103720.4</v>
      </c>
      <c r="I76" s="186">
        <f>+VLOOKUP($E76,[1]tb!$B$12:$AC$193,10,0)</f>
        <v>14103720.4</v>
      </c>
      <c r="J76" s="186">
        <f>+VLOOKUP($E76,[1]tb!$B$12:$AC$193,12,0)</f>
        <v>14103720.4</v>
      </c>
      <c r="K76" s="186">
        <f>+VLOOKUP($E76,[1]tb!$B$12:$AC$193,14,0)</f>
        <v>14103720.4</v>
      </c>
      <c r="L76" s="186">
        <f>+VLOOKUP($E76,[1]tb!$B$12:$AC$193,16,0)</f>
        <v>14103720.4</v>
      </c>
      <c r="M76" s="186">
        <f>+VLOOKUP($E76,[1]tb!$B$12:$AC$193,18,0)</f>
        <v>14103720.4</v>
      </c>
      <c r="N76" s="186">
        <f>+VLOOKUP($E76,[1]tb!$B$12:$AC$193,20,0)</f>
        <v>14103720.4</v>
      </c>
      <c r="O76" s="186">
        <f>+VLOOKUP($E76,[1]tb!$B$12:$AC$193,22,0)</f>
        <v>14103720.4</v>
      </c>
      <c r="P76" s="186">
        <f>+VLOOKUP($E76,[1]tb!$B$12:$AC$193,24,0)</f>
        <v>14103720.4</v>
      </c>
      <c r="Q76" s="186">
        <f>+VLOOKUP($E76,[1]tb!$B$12:$AC$193,26,0)</f>
        <v>14103720.4</v>
      </c>
      <c r="R76" s="186">
        <f t="shared" si="8"/>
        <v>14103720.4</v>
      </c>
    </row>
    <row r="77" spans="4:18">
      <c r="D77" s="204" t="s">
        <v>281</v>
      </c>
      <c r="E77" s="206" t="s">
        <v>59</v>
      </c>
      <c r="F77" s="186">
        <f>+VLOOKUP($E77,[1]tb!$B$12:$AC$193,5,0)</f>
        <v>4772676.41</v>
      </c>
      <c r="G77" s="186">
        <f>+VLOOKUP($E77,[1]tb!$B$12:$AC$193,7,0)</f>
        <v>4866682.12</v>
      </c>
      <c r="H77" s="186">
        <f>+VLOOKUP($E77,[1]tb!$B$12:$AC$193,9,0)</f>
        <v>4964054.4400000004</v>
      </c>
      <c r="I77" s="186">
        <f>+VLOOKUP($E77,[1]tb!$B$12:$AC$193,11,0)</f>
        <v>4964054.4400000004</v>
      </c>
      <c r="J77" s="186">
        <f>+VLOOKUP($E77,[1]tb!$B$12:$AC$193,13,0)</f>
        <v>4964054.4400000004</v>
      </c>
      <c r="K77" s="186">
        <f>+VLOOKUP($E77,[1]tb!$B$12:$AC$193,15,0)</f>
        <v>4964054.4400000004</v>
      </c>
      <c r="L77" s="186">
        <f>+VLOOKUP($E77,[1]tb!$B$12:$AC$193,17,0)</f>
        <v>4964054.4400000004</v>
      </c>
      <c r="M77" s="186">
        <f>+VLOOKUP($E77,[1]tb!$B$12:$AC$193,19,0)</f>
        <v>4964054.4400000004</v>
      </c>
      <c r="N77" s="186">
        <f>+VLOOKUP($E77,[1]tb!$B$12:$AC$193,21,0)</f>
        <v>4964054.4400000004</v>
      </c>
      <c r="O77" s="186">
        <f>+VLOOKUP($E77,[1]tb!$B$12:$AC$193,23,0)</f>
        <v>4964054.4400000004</v>
      </c>
      <c r="P77" s="186">
        <f>+VLOOKUP($E77,[1]tb!$B$12:$AC$193,25,0)</f>
        <v>4964054.4400000004</v>
      </c>
      <c r="Q77" s="186">
        <f>+VLOOKUP($E77,[1]tb!$B$12:$AC$193,27,0)</f>
        <v>4964054.4400000004</v>
      </c>
      <c r="R77" s="186">
        <f t="shared" si="8"/>
        <v>4964054.4400000004</v>
      </c>
    </row>
    <row r="78" spans="4:18">
      <c r="D78" s="204" t="s">
        <v>536</v>
      </c>
      <c r="F78" s="212">
        <f>+F76-F77</f>
        <v>9311293.9900000002</v>
      </c>
      <c r="G78" s="212">
        <f>+G76-G77</f>
        <v>9217288.2800000012</v>
      </c>
      <c r="H78" s="212">
        <f t="shared" ref="H78:Q78" si="16">+H76-H77</f>
        <v>9139665.9600000009</v>
      </c>
      <c r="I78" s="212">
        <f t="shared" si="16"/>
        <v>9139665.9600000009</v>
      </c>
      <c r="J78" s="212">
        <f t="shared" si="16"/>
        <v>9139665.9600000009</v>
      </c>
      <c r="K78" s="212">
        <f t="shared" si="16"/>
        <v>9139665.9600000009</v>
      </c>
      <c r="L78" s="212">
        <f t="shared" si="16"/>
        <v>9139665.9600000009</v>
      </c>
      <c r="M78" s="212">
        <f t="shared" si="16"/>
        <v>9139665.9600000009</v>
      </c>
      <c r="N78" s="212">
        <f t="shared" si="16"/>
        <v>9139665.9600000009</v>
      </c>
      <c r="O78" s="212">
        <f t="shared" si="16"/>
        <v>9139665.9600000009</v>
      </c>
      <c r="P78" s="212">
        <f t="shared" si="16"/>
        <v>9139665.9600000009</v>
      </c>
      <c r="Q78" s="212">
        <f t="shared" si="16"/>
        <v>9139665.9600000009</v>
      </c>
      <c r="R78" s="212">
        <f t="shared" si="8"/>
        <v>9139665.9600000009</v>
      </c>
    </row>
    <row r="79" spans="4:18">
      <c r="D79" s="204" t="s">
        <v>284</v>
      </c>
      <c r="E79" s="206" t="s">
        <v>62</v>
      </c>
      <c r="F79" s="186">
        <f>+VLOOKUP($E79,[1]tb!$B$12:$AC$193,4,0)</f>
        <v>4244500</v>
      </c>
      <c r="G79" s="186">
        <f>+VLOOKUP($E79,[1]tb!$B$12:$AC$193,6,0)</f>
        <v>4244500</v>
      </c>
      <c r="H79" s="186">
        <f>+VLOOKUP($E79,[1]tb!$B$12:$AC$193,8,0)</f>
        <v>4244500</v>
      </c>
      <c r="I79" s="186">
        <f>+VLOOKUP($E79,[1]tb!$B$12:$AC$193,10,0)</f>
        <v>4244500</v>
      </c>
      <c r="J79" s="186">
        <f>+VLOOKUP($E79,[1]tb!$B$12:$AC$193,12,0)</f>
        <v>4244500</v>
      </c>
      <c r="K79" s="186">
        <f>+VLOOKUP($E79,[1]tb!$B$12:$AC$193,14,0)</f>
        <v>4244500</v>
      </c>
      <c r="L79" s="186">
        <f>+VLOOKUP($E79,[1]tb!$B$12:$AC$193,16,0)</f>
        <v>4244500</v>
      </c>
      <c r="M79" s="186">
        <f>+VLOOKUP($E79,[1]tb!$B$12:$AC$193,18,0)</f>
        <v>4244500</v>
      </c>
      <c r="N79" s="186">
        <f>+VLOOKUP($E79,[1]tb!$B$12:$AC$193,20,0)</f>
        <v>4244500</v>
      </c>
      <c r="O79" s="186">
        <f>+VLOOKUP($E79,[1]tb!$B$12:$AC$193,22,0)</f>
        <v>4244500</v>
      </c>
      <c r="P79" s="186">
        <f>+VLOOKUP($E79,[1]tb!$B$12:$AC$193,24,0)</f>
        <v>4244500</v>
      </c>
      <c r="Q79" s="186">
        <f>+VLOOKUP($E79,[1]tb!$B$12:$AC$193,26,0)</f>
        <v>4244500</v>
      </c>
      <c r="R79" s="186">
        <f t="shared" si="8"/>
        <v>4244500</v>
      </c>
    </row>
    <row r="80" spans="4:18">
      <c r="D80" s="204" t="s">
        <v>285</v>
      </c>
      <c r="E80" s="206" t="s">
        <v>63</v>
      </c>
      <c r="F80" s="186">
        <f>+VLOOKUP($E80,[1]tb!$B$12:$AC$193,5,0)</f>
        <v>2791151.79</v>
      </c>
      <c r="G80" s="186">
        <f>+VLOOKUP($E80,[1]tb!$B$12:$AC$193,7,0)</f>
        <v>2813217.86</v>
      </c>
      <c r="H80" s="186">
        <f>+VLOOKUP($E80,[1]tb!$B$12:$AC$193,9,0)</f>
        <v>2835283.9299999997</v>
      </c>
      <c r="I80" s="186">
        <f>+VLOOKUP($E80,[1]tb!$B$12:$AC$193,11,0)</f>
        <v>2835283.9299999997</v>
      </c>
      <c r="J80" s="186">
        <f>+VLOOKUP($E80,[1]tb!$B$12:$AC$193,13,0)</f>
        <v>2835283.9299999997</v>
      </c>
      <c r="K80" s="186">
        <f>+VLOOKUP($E80,[1]tb!$B$12:$AC$193,15,0)</f>
        <v>2835283.9299999997</v>
      </c>
      <c r="L80" s="186">
        <f>+VLOOKUP($E80,[1]tb!$B$12:$AC$193,17,0)</f>
        <v>2835283.9299999997</v>
      </c>
      <c r="M80" s="186">
        <f>+VLOOKUP($E80,[1]tb!$B$12:$AC$193,19,0)</f>
        <v>2835283.9299999997</v>
      </c>
      <c r="N80" s="186">
        <f>+VLOOKUP($E80,[1]tb!$B$12:$AC$193,21,0)</f>
        <v>2835283.9299999997</v>
      </c>
      <c r="O80" s="186">
        <f>+VLOOKUP($E80,[1]tb!$B$12:$AC$193,23,0)</f>
        <v>2835283.9299999997</v>
      </c>
      <c r="P80" s="186">
        <f>+VLOOKUP($E80,[1]tb!$B$12:$AC$193,25,0)</f>
        <v>2835283.9299999997</v>
      </c>
      <c r="Q80" s="186">
        <f>+VLOOKUP($E80,[1]tb!$B$12:$AC$193,27,0)</f>
        <v>2835283.9299999997</v>
      </c>
      <c r="R80" s="186">
        <f t="shared" si="8"/>
        <v>2835283.9299999997</v>
      </c>
    </row>
    <row r="81" spans="3:18">
      <c r="D81" s="204" t="s">
        <v>536</v>
      </c>
      <c r="F81" s="212">
        <f>+F79-F80</f>
        <v>1453348.21</v>
      </c>
      <c r="G81" s="212">
        <f>+G79-G80</f>
        <v>1431282.1400000001</v>
      </c>
      <c r="H81" s="212">
        <f t="shared" ref="H81:Q81" si="17">+H79-H80</f>
        <v>1409216.0700000003</v>
      </c>
      <c r="I81" s="212">
        <f t="shared" si="17"/>
        <v>1409216.0700000003</v>
      </c>
      <c r="J81" s="212">
        <f t="shared" si="17"/>
        <v>1409216.0700000003</v>
      </c>
      <c r="K81" s="212">
        <f t="shared" si="17"/>
        <v>1409216.0700000003</v>
      </c>
      <c r="L81" s="212">
        <f t="shared" si="17"/>
        <v>1409216.0700000003</v>
      </c>
      <c r="M81" s="212">
        <f t="shared" si="17"/>
        <v>1409216.0700000003</v>
      </c>
      <c r="N81" s="212">
        <f t="shared" si="17"/>
        <v>1409216.0700000003</v>
      </c>
      <c r="O81" s="212">
        <f t="shared" si="17"/>
        <v>1409216.0700000003</v>
      </c>
      <c r="P81" s="212">
        <f t="shared" si="17"/>
        <v>1409216.0700000003</v>
      </c>
      <c r="Q81" s="212">
        <f t="shared" si="17"/>
        <v>1409216.0700000003</v>
      </c>
      <c r="R81" s="212">
        <f t="shared" si="8"/>
        <v>1409216.0700000003</v>
      </c>
    </row>
    <row r="82" spans="3:18">
      <c r="D82" s="204" t="s">
        <v>288</v>
      </c>
      <c r="E82" s="206" t="s">
        <v>66</v>
      </c>
      <c r="F82" s="186">
        <f>+VLOOKUP($E82,[1]tb!$B$12:$AC$193,4,0)</f>
        <v>1494617.21</v>
      </c>
      <c r="G82" s="186">
        <f>+VLOOKUP($E82,[1]tb!$B$12:$AC$193,6,0)</f>
        <v>1494617.21</v>
      </c>
      <c r="H82" s="186">
        <f>+VLOOKUP($E82,[1]tb!$B$12:$AC$193,8,0)</f>
        <v>1494617.21</v>
      </c>
      <c r="I82" s="186">
        <f>+VLOOKUP($E82,[1]tb!$B$12:$AC$193,10,0)</f>
        <v>1494617.21</v>
      </c>
      <c r="J82" s="186">
        <f>+VLOOKUP($E82,[1]tb!$B$12:$AC$193,12,0)</f>
        <v>1494617.21</v>
      </c>
      <c r="K82" s="186">
        <f>+VLOOKUP($E82,[1]tb!$B$12:$AC$193,14,0)</f>
        <v>1494617.21</v>
      </c>
      <c r="L82" s="186">
        <f>+VLOOKUP($E82,[1]tb!$B$12:$AC$193,16,0)</f>
        <v>1494617.21</v>
      </c>
      <c r="M82" s="186">
        <f>+VLOOKUP($E82,[1]tb!$B$12:$AC$193,18,0)</f>
        <v>1494617.21</v>
      </c>
      <c r="N82" s="186">
        <f>+VLOOKUP($E82,[1]tb!$B$12:$AC$193,20,0)</f>
        <v>1494617.21</v>
      </c>
      <c r="O82" s="186">
        <f>+VLOOKUP($E82,[1]tb!$B$12:$AC$193,22,0)</f>
        <v>1494617.21</v>
      </c>
      <c r="P82" s="186">
        <f>+VLOOKUP($E82,[1]tb!$B$12:$AC$193,24,0)</f>
        <v>1494617.21</v>
      </c>
      <c r="Q82" s="186">
        <f>+VLOOKUP($E82,[1]tb!$B$12:$AC$193,26,0)</f>
        <v>1494617.21</v>
      </c>
      <c r="R82" s="186">
        <f t="shared" si="8"/>
        <v>1494617.21</v>
      </c>
    </row>
    <row r="83" spans="3:18">
      <c r="D83" s="204" t="s">
        <v>289</v>
      </c>
      <c r="E83" s="206" t="s">
        <v>67</v>
      </c>
      <c r="F83" s="186">
        <f>+VLOOKUP($E83,[1]tb!$B$12:$AC$193,5,0)</f>
        <v>500121.4</v>
      </c>
      <c r="G83" s="186">
        <f>+VLOOKUP($E83,[1]tb!$B$12:$AC$193,7,0)</f>
        <v>509233.73000000004</v>
      </c>
      <c r="H83" s="186">
        <f>+VLOOKUP($E83,[1]tb!$B$12:$AC$193,9,0)</f>
        <v>518346.74000000005</v>
      </c>
      <c r="I83" s="186">
        <f>+VLOOKUP($E83,[1]tb!$B$12:$AC$193,11,0)</f>
        <v>518346.74000000005</v>
      </c>
      <c r="J83" s="186">
        <f>+VLOOKUP($E83,[1]tb!$B$12:$AC$193,13,0)</f>
        <v>518346.74000000005</v>
      </c>
      <c r="K83" s="186">
        <f>+VLOOKUP($E83,[1]tb!$B$12:$AC$193,15,0)</f>
        <v>518346.74000000005</v>
      </c>
      <c r="L83" s="186">
        <f>+VLOOKUP($E83,[1]tb!$B$12:$AC$193,17,0)</f>
        <v>518346.74000000005</v>
      </c>
      <c r="M83" s="186">
        <f>+VLOOKUP($E83,[1]tb!$B$12:$AC$193,19,0)</f>
        <v>518346.74000000005</v>
      </c>
      <c r="N83" s="186">
        <f>+VLOOKUP($E83,[1]tb!$B$12:$AC$193,21,0)</f>
        <v>518346.74000000005</v>
      </c>
      <c r="O83" s="186">
        <f>+VLOOKUP($E83,[1]tb!$B$12:$AC$193,23,0)</f>
        <v>518346.74000000005</v>
      </c>
      <c r="P83" s="186">
        <f>+VLOOKUP($E83,[1]tb!$B$12:$AC$193,25,0)</f>
        <v>518346.74000000005</v>
      </c>
      <c r="Q83" s="186">
        <f>+VLOOKUP($E83,[1]tb!$B$12:$AC$193,27,0)</f>
        <v>518346.74000000005</v>
      </c>
      <c r="R83" s="186">
        <f t="shared" si="8"/>
        <v>518346.74000000005</v>
      </c>
    </row>
    <row r="84" spans="3:18">
      <c r="D84" s="204" t="s">
        <v>536</v>
      </c>
      <c r="F84" s="212">
        <f>+F82-F83</f>
        <v>994495.80999999994</v>
      </c>
      <c r="G84" s="212">
        <f>+G82-G83</f>
        <v>985383.48</v>
      </c>
      <c r="H84" s="212">
        <f t="shared" ref="H84:Q84" si="18">+H82-H83</f>
        <v>976270.47</v>
      </c>
      <c r="I84" s="212">
        <f t="shared" si="18"/>
        <v>976270.47</v>
      </c>
      <c r="J84" s="212">
        <f t="shared" si="18"/>
        <v>976270.47</v>
      </c>
      <c r="K84" s="212">
        <f t="shared" si="18"/>
        <v>976270.47</v>
      </c>
      <c r="L84" s="212">
        <f t="shared" si="18"/>
        <v>976270.47</v>
      </c>
      <c r="M84" s="212">
        <f t="shared" si="18"/>
        <v>976270.47</v>
      </c>
      <c r="N84" s="212">
        <f t="shared" si="18"/>
        <v>976270.47</v>
      </c>
      <c r="O84" s="212">
        <f t="shared" si="18"/>
        <v>976270.47</v>
      </c>
      <c r="P84" s="212">
        <f t="shared" si="18"/>
        <v>976270.47</v>
      </c>
      <c r="Q84" s="212">
        <f t="shared" si="18"/>
        <v>976270.47</v>
      </c>
      <c r="R84" s="212">
        <f t="shared" si="8"/>
        <v>976270.47</v>
      </c>
    </row>
    <row r="85" spans="3:18">
      <c r="D85" s="204" t="s">
        <v>294</v>
      </c>
      <c r="E85" s="206" t="s">
        <v>72</v>
      </c>
      <c r="F85" s="212">
        <f>+VLOOKUP($E85,[1]tb!$B$12:$AC$193,4,0)</f>
        <v>6521489.2300000004</v>
      </c>
      <c r="G85" s="212">
        <f>+VLOOKUP($E85,[1]tb!$B$12:$AC$193,6,0)</f>
        <v>6521489.2300000004</v>
      </c>
      <c r="H85" s="212">
        <f>+VLOOKUP($E85,[1]tb!$B$12:$AC$193,8,0)</f>
        <v>6521489.2300000004</v>
      </c>
      <c r="I85" s="212">
        <f>+VLOOKUP($E85,[1]tb!$B$12:$AC$193,10,0)</f>
        <v>6521489.2300000004</v>
      </c>
      <c r="J85" s="212">
        <f>+VLOOKUP($E85,[1]tb!$B$12:$AC$193,12,0)</f>
        <v>6521489.2300000004</v>
      </c>
      <c r="K85" s="212">
        <f>+VLOOKUP($E85,[1]tb!$B$12:$AC$193,14,0)</f>
        <v>6521489.2300000004</v>
      </c>
      <c r="L85" s="212">
        <f>+VLOOKUP($E85,[1]tb!$B$12:$AC$193,16,0)</f>
        <v>6521489.2300000004</v>
      </c>
      <c r="M85" s="212">
        <f>+VLOOKUP($E85,[1]tb!$B$12:$AC$193,18,0)</f>
        <v>6521489.2300000004</v>
      </c>
      <c r="N85" s="212">
        <f>+VLOOKUP($E85,[1]tb!$B$12:$AC$193,20,0)</f>
        <v>6521489.2300000004</v>
      </c>
      <c r="O85" s="212">
        <f>+VLOOKUP($E85,[1]tb!$B$12:$AC$193,22,0)</f>
        <v>6521489.2300000004</v>
      </c>
      <c r="P85" s="212">
        <f>+VLOOKUP($E85,[1]tb!$B$12:$AC$193,24,0)</f>
        <v>6521489.2300000004</v>
      </c>
      <c r="Q85" s="212">
        <f>+VLOOKUP($E85,[1]tb!$B$12:$AC$193,26,0)</f>
        <v>6521489.2300000004</v>
      </c>
      <c r="R85" s="212">
        <f t="shared" si="8"/>
        <v>6521489.2300000004</v>
      </c>
    </row>
    <row r="86" spans="3:18">
      <c r="D86" s="204" t="s">
        <v>295</v>
      </c>
      <c r="E86" s="206" t="s">
        <v>73</v>
      </c>
      <c r="F86" s="186">
        <f>+VLOOKUP($E86,[1]tb!$B$12:$AC$193,4,0)</f>
        <v>691130</v>
      </c>
      <c r="G86" s="186">
        <f>+VLOOKUP($E86,[1]tb!$B$12:$AC$193,6,0)</f>
        <v>691130</v>
      </c>
      <c r="H86" s="186">
        <f>+VLOOKUP($E86,[1]tb!$B$12:$AC$193,8,0)</f>
        <v>714920</v>
      </c>
      <c r="I86" s="186">
        <f>+VLOOKUP($E86,[1]tb!$B$12:$AC$193,10,0)</f>
        <v>714920</v>
      </c>
      <c r="J86" s="186">
        <f>+VLOOKUP($E86,[1]tb!$B$12:$AC$193,12,0)</f>
        <v>714920</v>
      </c>
      <c r="K86" s="186">
        <f>+VLOOKUP($E86,[1]tb!$B$12:$AC$193,14,0)</f>
        <v>714920</v>
      </c>
      <c r="L86" s="186">
        <f>+VLOOKUP($E86,[1]tb!$B$12:$AC$193,16,0)</f>
        <v>714920</v>
      </c>
      <c r="M86" s="186">
        <f>+VLOOKUP($E86,[1]tb!$B$12:$AC$193,18,0)</f>
        <v>714920</v>
      </c>
      <c r="N86" s="186">
        <f>+VLOOKUP($E86,[1]tb!$B$12:$AC$193,20,0)</f>
        <v>714920</v>
      </c>
      <c r="O86" s="186">
        <f>+VLOOKUP($E86,[1]tb!$B$12:$AC$193,22,0)</f>
        <v>714920</v>
      </c>
      <c r="P86" s="186">
        <f>+VLOOKUP($E86,[1]tb!$B$12:$AC$193,24,0)</f>
        <v>714920</v>
      </c>
      <c r="Q86" s="186">
        <f>+VLOOKUP($E86,[1]tb!$B$12:$AC$193,26,0)</f>
        <v>714920</v>
      </c>
      <c r="R86" s="186">
        <f t="shared" si="8"/>
        <v>714920</v>
      </c>
    </row>
    <row r="87" spans="3:18">
      <c r="D87" s="204" t="s">
        <v>296</v>
      </c>
      <c r="E87" s="206" t="s">
        <v>74</v>
      </c>
      <c r="F87" s="186">
        <f>+VLOOKUP($E87,[1]tb!$B$12:$AC$193,5,0)</f>
        <v>392946.83</v>
      </c>
      <c r="G87" s="186">
        <f>+VLOOKUP($E87,[1]tb!$B$12:$AC$193,7,0)</f>
        <v>399736.09</v>
      </c>
      <c r="H87" s="186">
        <f>+VLOOKUP($E87,[1]tb!$B$12:$AC$193,9,0)</f>
        <v>415387.22000000003</v>
      </c>
      <c r="I87" s="186">
        <f>+VLOOKUP($E87,[1]tb!$B$12:$AC$193,11,0)</f>
        <v>415387.22000000003</v>
      </c>
      <c r="J87" s="186">
        <f>+VLOOKUP($E87,[1]tb!$B$12:$AC$193,13,0)</f>
        <v>415387.22000000003</v>
      </c>
      <c r="K87" s="186">
        <f>+VLOOKUP($E87,[1]tb!$B$12:$AC$193,15,0)</f>
        <v>415387.22000000003</v>
      </c>
      <c r="L87" s="186">
        <f>+VLOOKUP($E87,[1]tb!$B$12:$AC$193,17,0)</f>
        <v>415387.22000000003</v>
      </c>
      <c r="M87" s="186">
        <f>+VLOOKUP($E87,[1]tb!$B$12:$AC$193,19,0)</f>
        <v>415387.22000000003</v>
      </c>
      <c r="N87" s="186">
        <f>+VLOOKUP($E87,[1]tb!$B$12:$AC$193,21,0)</f>
        <v>415387.22000000003</v>
      </c>
      <c r="O87" s="186">
        <f>+VLOOKUP($E87,[1]tb!$B$12:$AC$193,23,0)</f>
        <v>415387.22000000003</v>
      </c>
      <c r="P87" s="186">
        <f>+VLOOKUP($E87,[1]tb!$B$12:$AC$193,25,0)</f>
        <v>415387.22000000003</v>
      </c>
      <c r="Q87" s="186">
        <f>+VLOOKUP($E87,[1]tb!$B$12:$AC$193,27,0)</f>
        <v>415387.22000000003</v>
      </c>
      <c r="R87" s="186">
        <f t="shared" si="8"/>
        <v>415387.22000000003</v>
      </c>
    </row>
    <row r="88" spans="3:18">
      <c r="D88" s="204" t="s">
        <v>536</v>
      </c>
      <c r="F88" s="212">
        <f>+F86-F87</f>
        <v>298183.17</v>
      </c>
      <c r="G88" s="212">
        <f>+G86-G87</f>
        <v>291393.90999999997</v>
      </c>
      <c r="H88" s="212">
        <f t="shared" ref="H88:Q88" si="19">+H86-H87</f>
        <v>299532.77999999997</v>
      </c>
      <c r="I88" s="212">
        <f t="shared" si="19"/>
        <v>299532.77999999997</v>
      </c>
      <c r="J88" s="212">
        <f t="shared" si="19"/>
        <v>299532.77999999997</v>
      </c>
      <c r="K88" s="212">
        <f t="shared" si="19"/>
        <v>299532.77999999997</v>
      </c>
      <c r="L88" s="212">
        <f t="shared" si="19"/>
        <v>299532.77999999997</v>
      </c>
      <c r="M88" s="212">
        <f t="shared" si="19"/>
        <v>299532.77999999997</v>
      </c>
      <c r="N88" s="212">
        <f t="shared" si="19"/>
        <v>299532.77999999997</v>
      </c>
      <c r="O88" s="212">
        <f t="shared" si="19"/>
        <v>299532.77999999997</v>
      </c>
      <c r="P88" s="212">
        <f t="shared" si="19"/>
        <v>299532.77999999997</v>
      </c>
      <c r="Q88" s="212">
        <f t="shared" si="19"/>
        <v>299532.77999999997</v>
      </c>
      <c r="R88" s="212">
        <f t="shared" si="8"/>
        <v>299532.77999999997</v>
      </c>
    </row>
    <row r="89" spans="3:18" ht="5.0999999999999996" customHeight="1"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3:18">
      <c r="C90" s="208" t="s">
        <v>714</v>
      </c>
      <c r="F90" s="209">
        <f>+F91</f>
        <v>0</v>
      </c>
      <c r="G90" s="209">
        <f>+G91</f>
        <v>0</v>
      </c>
      <c r="H90" s="209">
        <f t="shared" ref="H90:Q90" si="20">+H91</f>
        <v>0</v>
      </c>
      <c r="I90" s="209">
        <f t="shared" si="20"/>
        <v>0</v>
      </c>
      <c r="J90" s="209">
        <f t="shared" si="20"/>
        <v>0</v>
      </c>
      <c r="K90" s="209">
        <f t="shared" si="20"/>
        <v>0</v>
      </c>
      <c r="L90" s="209">
        <f t="shared" si="20"/>
        <v>0</v>
      </c>
      <c r="M90" s="209">
        <f t="shared" si="20"/>
        <v>0</v>
      </c>
      <c r="N90" s="209">
        <f t="shared" si="20"/>
        <v>0</v>
      </c>
      <c r="O90" s="209">
        <f t="shared" si="20"/>
        <v>0</v>
      </c>
      <c r="P90" s="209">
        <f t="shared" si="20"/>
        <v>0</v>
      </c>
      <c r="Q90" s="209">
        <f t="shared" si="20"/>
        <v>0</v>
      </c>
      <c r="R90" s="209">
        <f t="shared" si="8"/>
        <v>0</v>
      </c>
    </row>
    <row r="91" spans="3:18">
      <c r="D91" s="204" t="s">
        <v>297</v>
      </c>
      <c r="E91" s="206" t="s">
        <v>75</v>
      </c>
      <c r="F91" s="213">
        <f>+VLOOKUP($E91,[1]tb!$B$12:$AC$193,4,0)</f>
        <v>0</v>
      </c>
      <c r="G91" s="213">
        <f>+VLOOKUP($E91,[1]tb!$B$12:$AC$193,6,0)</f>
        <v>0</v>
      </c>
      <c r="H91" s="213">
        <f>+VLOOKUP($E91,[1]tb!$B$12:$AC$193,8,0)</f>
        <v>0</v>
      </c>
      <c r="I91" s="213">
        <f>+VLOOKUP($E91,[1]tb!$B$12:$AC$193,10,0)</f>
        <v>0</v>
      </c>
      <c r="J91" s="213">
        <f>+VLOOKUP($E91,[1]tb!$B$12:$AC$193,12,0)</f>
        <v>0</v>
      </c>
      <c r="K91" s="213">
        <f>+VLOOKUP($E91,[1]tb!$B$12:$AC$193,14,0)</f>
        <v>0</v>
      </c>
      <c r="L91" s="213">
        <f>+VLOOKUP($E91,[1]tb!$B$12:$AC$193,16,0)</f>
        <v>0</v>
      </c>
      <c r="M91" s="213">
        <f>+VLOOKUP($E91,[1]tb!$B$12:$AC$193,18,0)</f>
        <v>0</v>
      </c>
      <c r="N91" s="213">
        <f>+VLOOKUP($E91,[1]tb!$B$12:$AC$193,20,0)</f>
        <v>0</v>
      </c>
      <c r="O91" s="213">
        <f>+VLOOKUP($E91,[1]tb!$B$12:$AC$193,22,0)</f>
        <v>0</v>
      </c>
      <c r="P91" s="213">
        <f>+VLOOKUP($E91,[1]tb!$B$12:$AC$193,24,0)</f>
        <v>0</v>
      </c>
      <c r="Q91" s="213">
        <f>+VLOOKUP($E91,[1]tb!$B$12:$AC$193,26,0)</f>
        <v>0</v>
      </c>
      <c r="R91" s="213">
        <f t="shared" si="8"/>
        <v>0</v>
      </c>
    </row>
    <row r="92" spans="3:18" ht="5.0999999999999996" customHeight="1"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</row>
    <row r="93" spans="3:18">
      <c r="D93" s="210" t="s">
        <v>715</v>
      </c>
      <c r="F93" s="211">
        <f>+F90+F52</f>
        <v>27434880.300000004</v>
      </c>
      <c r="G93" s="211">
        <f>+G90+G52</f>
        <v>27251998.330000002</v>
      </c>
      <c r="H93" s="211">
        <f t="shared" ref="H93:Q93" si="21">+H90+H52</f>
        <v>27100426.740000002</v>
      </c>
      <c r="I93" s="211">
        <f t="shared" si="21"/>
        <v>27100426.740000002</v>
      </c>
      <c r="J93" s="211">
        <f t="shared" si="21"/>
        <v>27100426.740000002</v>
      </c>
      <c r="K93" s="211">
        <f t="shared" si="21"/>
        <v>27100426.740000002</v>
      </c>
      <c r="L93" s="211">
        <f t="shared" si="21"/>
        <v>27100426.740000002</v>
      </c>
      <c r="M93" s="211">
        <f t="shared" si="21"/>
        <v>27100426.740000002</v>
      </c>
      <c r="N93" s="211">
        <f t="shared" si="21"/>
        <v>27100426.740000002</v>
      </c>
      <c r="O93" s="211">
        <f t="shared" si="21"/>
        <v>27100426.740000002</v>
      </c>
      <c r="P93" s="211">
        <f t="shared" si="21"/>
        <v>27100426.740000002</v>
      </c>
      <c r="Q93" s="211">
        <f t="shared" si="21"/>
        <v>27100426.740000002</v>
      </c>
      <c r="R93" s="211">
        <f t="shared" si="8"/>
        <v>27100426.740000002</v>
      </c>
    </row>
    <row r="94" spans="3:18" ht="5.0999999999999996" customHeight="1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3:18" ht="12.75" thickBot="1">
      <c r="D95" s="210" t="s">
        <v>716</v>
      </c>
      <c r="F95" s="214">
        <f>+F93+F48</f>
        <v>30298470.180000003</v>
      </c>
      <c r="G95" s="214">
        <f>+G93+G48</f>
        <v>30624135.230000004</v>
      </c>
      <c r="H95" s="214">
        <f t="shared" ref="H95:Q95" si="22">+H93+H48</f>
        <v>30855390.100000001</v>
      </c>
      <c r="I95" s="214">
        <f t="shared" si="22"/>
        <v>30855390.100000001</v>
      </c>
      <c r="J95" s="214">
        <f t="shared" si="22"/>
        <v>30855390.100000001</v>
      </c>
      <c r="K95" s="214">
        <f t="shared" si="22"/>
        <v>30855390.100000001</v>
      </c>
      <c r="L95" s="214">
        <f t="shared" si="22"/>
        <v>30855390.100000001</v>
      </c>
      <c r="M95" s="214">
        <f t="shared" si="22"/>
        <v>30855390.100000001</v>
      </c>
      <c r="N95" s="214">
        <f t="shared" si="22"/>
        <v>30855390.100000001</v>
      </c>
      <c r="O95" s="214">
        <f t="shared" si="22"/>
        <v>30855390.100000001</v>
      </c>
      <c r="P95" s="214">
        <f t="shared" si="22"/>
        <v>30855390.100000001</v>
      </c>
      <c r="Q95" s="214">
        <f t="shared" si="22"/>
        <v>30855390.100000001</v>
      </c>
      <c r="R95" s="214">
        <f>R12+R23+R29+R35+R52</f>
        <v>29567870.100000001</v>
      </c>
    </row>
    <row r="96" spans="3:18" ht="5.0999999999999996" customHeight="1" thickTop="1"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1:18"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>
        <f t="shared" si="8"/>
        <v>0</v>
      </c>
    </row>
    <row r="98" spans="1:18">
      <c r="A98" s="208" t="s">
        <v>564</v>
      </c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>
        <f t="shared" si="8"/>
        <v>0</v>
      </c>
    </row>
    <row r="99" spans="1:18">
      <c r="B99" s="208" t="s">
        <v>717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>
        <f t="shared" si="8"/>
        <v>0</v>
      </c>
    </row>
    <row r="100" spans="1:18" ht="5.0999999999999996" customHeight="1"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>
      <c r="C101" s="208" t="s">
        <v>718</v>
      </c>
      <c r="F101" s="209">
        <f>+SUM(F102:F104)</f>
        <v>589691.80000000005</v>
      </c>
      <c r="G101" s="209">
        <f>+SUM(G102:G104)</f>
        <v>589691.80000000005</v>
      </c>
      <c r="H101" s="209">
        <f t="shared" ref="H101:Q101" si="23">+SUM(H102:H104)</f>
        <v>589691.80000000016</v>
      </c>
      <c r="I101" s="209">
        <f t="shared" si="23"/>
        <v>589691.80000000016</v>
      </c>
      <c r="J101" s="209">
        <f t="shared" si="23"/>
        <v>589691.80000000016</v>
      </c>
      <c r="K101" s="209">
        <f t="shared" si="23"/>
        <v>589691.80000000016</v>
      </c>
      <c r="L101" s="209">
        <f t="shared" si="23"/>
        <v>589691.80000000016</v>
      </c>
      <c r="M101" s="209">
        <f t="shared" si="23"/>
        <v>589691.80000000016</v>
      </c>
      <c r="N101" s="209">
        <f t="shared" si="23"/>
        <v>589691.80000000016</v>
      </c>
      <c r="O101" s="209">
        <f t="shared" si="23"/>
        <v>589691.80000000016</v>
      </c>
      <c r="P101" s="209">
        <f t="shared" si="23"/>
        <v>589691.80000000016</v>
      </c>
      <c r="Q101" s="209">
        <f t="shared" si="23"/>
        <v>589691.80000000016</v>
      </c>
      <c r="R101" s="209">
        <f t="shared" si="8"/>
        <v>589691.80000000016</v>
      </c>
    </row>
    <row r="102" spans="1:18">
      <c r="D102" s="204" t="s">
        <v>309</v>
      </c>
      <c r="E102" s="206" t="s">
        <v>87</v>
      </c>
      <c r="F102" s="186">
        <f>+VLOOKUP($E102,[1]tb!$B$12:$AC$193,5,0)</f>
        <v>589691.80000000005</v>
      </c>
      <c r="G102" s="186">
        <f>+VLOOKUP($E102,[1]tb!$B$12:$AC$193,7,0)</f>
        <v>589691.80000000005</v>
      </c>
      <c r="H102" s="186">
        <f>+VLOOKUP($E102,[1]tb!$B$12:$AC$193,9,0)</f>
        <v>589691.80000000005</v>
      </c>
      <c r="I102" s="186">
        <f>+VLOOKUP($E102,[1]tb!$B$12:$AC$193,11,0)</f>
        <v>589691.80000000005</v>
      </c>
      <c r="J102" s="186">
        <f>+VLOOKUP($E102,[1]tb!$B$12:$AC$193,13,0)</f>
        <v>589691.80000000005</v>
      </c>
      <c r="K102" s="186">
        <f>+VLOOKUP($E102,[1]tb!$B$12:$AC$193,15,0)</f>
        <v>589691.80000000005</v>
      </c>
      <c r="L102" s="186">
        <f>+VLOOKUP($E102,[1]tb!$B$12:$AC$193,17,0)</f>
        <v>589691.80000000005</v>
      </c>
      <c r="M102" s="186">
        <f>+VLOOKUP($E102,[1]tb!$B$12:$AC$193,19,0)</f>
        <v>589691.80000000005</v>
      </c>
      <c r="N102" s="186">
        <f>+VLOOKUP($E102,[1]tb!$B$12:$AC$193,21,0)</f>
        <v>589691.80000000005</v>
      </c>
      <c r="O102" s="186">
        <f>+VLOOKUP($E102,[1]tb!$B$12:$AC$193,23,0)</f>
        <v>589691.80000000005</v>
      </c>
      <c r="P102" s="186">
        <f>+VLOOKUP($E102,[1]tb!$B$12:$AC$193,25,0)</f>
        <v>589691.80000000005</v>
      </c>
      <c r="Q102" s="186">
        <f>+VLOOKUP($E102,[1]tb!$B$12:$AC$193,27,0)</f>
        <v>589691.80000000005</v>
      </c>
      <c r="R102" s="186">
        <f t="shared" si="8"/>
        <v>589691.80000000005</v>
      </c>
    </row>
    <row r="103" spans="1:18">
      <c r="D103" s="204" t="s">
        <v>310</v>
      </c>
      <c r="E103" s="206" t="s">
        <v>88</v>
      </c>
      <c r="F103" s="186">
        <f>+VLOOKUP($E103,[1]tb!$B$12:$AC$193,5,0)</f>
        <v>0</v>
      </c>
      <c r="G103" s="186">
        <f>+VLOOKUP($E103,[1]tb!$B$12:$AC$193,7,0)</f>
        <v>5.8207660913467407E-11</v>
      </c>
      <c r="H103" s="186">
        <f>+VLOOKUP($E103,[1]tb!$B$12:$AC$193,9,0)</f>
        <v>1.1641532182693481E-10</v>
      </c>
      <c r="I103" s="186">
        <f>+VLOOKUP($E103,[1]tb!$B$12:$AC$193,11,0)</f>
        <v>1.1641532182693481E-10</v>
      </c>
      <c r="J103" s="186">
        <f>+VLOOKUP($E103,[1]tb!$B$12:$AC$193,13,0)</f>
        <v>1.1641532182693481E-10</v>
      </c>
      <c r="K103" s="186">
        <f>+VLOOKUP($E103,[1]tb!$B$12:$AC$193,15,0)</f>
        <v>1.1641532182693481E-10</v>
      </c>
      <c r="L103" s="186">
        <f>+VLOOKUP($E103,[1]tb!$B$12:$AC$193,17,0)</f>
        <v>1.1641532182693481E-10</v>
      </c>
      <c r="M103" s="186">
        <f>+VLOOKUP($E103,[1]tb!$B$12:$AC$193,19,0)</f>
        <v>1.1641532182693481E-10</v>
      </c>
      <c r="N103" s="186">
        <f>+VLOOKUP($E103,[1]tb!$B$12:$AC$193,21,0)</f>
        <v>1.1641532182693481E-10</v>
      </c>
      <c r="O103" s="186">
        <f>+VLOOKUP($E103,[1]tb!$B$12:$AC$193,23,0)</f>
        <v>1.1641532182693481E-10</v>
      </c>
      <c r="P103" s="186">
        <f>+VLOOKUP($E103,[1]tb!$B$12:$AC$193,25,0)</f>
        <v>1.1641532182693481E-10</v>
      </c>
      <c r="Q103" s="186">
        <f>+VLOOKUP($E103,[1]tb!$B$12:$AC$193,27,0)</f>
        <v>1.1641532182693481E-10</v>
      </c>
      <c r="R103" s="186">
        <f t="shared" si="8"/>
        <v>1.1641532182693481E-10</v>
      </c>
    </row>
    <row r="104" spans="1:18" ht="5.0999999999999996" customHeight="1"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>
      <c r="C105" s="208" t="s">
        <v>719</v>
      </c>
      <c r="F105" s="209">
        <f>+SUM(F106:F112)</f>
        <v>186916.78999999998</v>
      </c>
      <c r="G105" s="209">
        <f>+SUM(G106:G112)</f>
        <v>195571.72999999998</v>
      </c>
      <c r="H105" s="209">
        <f t="shared" ref="H105:Q105" si="24">+SUM(H106:H112)</f>
        <v>200409.60999999996</v>
      </c>
      <c r="I105" s="209">
        <f t="shared" si="24"/>
        <v>200409.60999999996</v>
      </c>
      <c r="J105" s="209">
        <f t="shared" si="24"/>
        <v>200409.60999999996</v>
      </c>
      <c r="K105" s="209">
        <f t="shared" si="24"/>
        <v>200409.60999999996</v>
      </c>
      <c r="L105" s="209">
        <f t="shared" si="24"/>
        <v>200409.60999999996</v>
      </c>
      <c r="M105" s="209">
        <f t="shared" si="24"/>
        <v>200409.60999999996</v>
      </c>
      <c r="N105" s="209">
        <f t="shared" si="24"/>
        <v>200409.60999999996</v>
      </c>
      <c r="O105" s="209">
        <f t="shared" si="24"/>
        <v>200409.60999999996</v>
      </c>
      <c r="P105" s="209">
        <f t="shared" si="24"/>
        <v>200409.60999999996</v>
      </c>
      <c r="Q105" s="209">
        <f t="shared" si="24"/>
        <v>200409.60999999996</v>
      </c>
      <c r="R105" s="209">
        <f t="shared" si="8"/>
        <v>200409.60999999996</v>
      </c>
    </row>
    <row r="106" spans="1:18">
      <c r="D106" s="204" t="s">
        <v>311</v>
      </c>
      <c r="E106" s="206" t="s">
        <v>89</v>
      </c>
      <c r="F106" s="186">
        <f>+VLOOKUP($E106,[1]tb!$B$12:$AC$193,5,0)</f>
        <v>186916.78999999998</v>
      </c>
      <c r="G106" s="186">
        <f>+VLOOKUP($E106,[1]tb!$B$12:$AC$193,7,0)</f>
        <v>193771.72999999998</v>
      </c>
      <c r="H106" s="186">
        <f>+VLOOKUP($E106,[1]tb!$B$12:$AC$193,9,0)</f>
        <v>198709.60999999996</v>
      </c>
      <c r="I106" s="186">
        <f>+VLOOKUP($E106,[1]tb!$B$12:$AC$193,11,0)</f>
        <v>198709.60999999996</v>
      </c>
      <c r="J106" s="186">
        <f>+VLOOKUP($E106,[1]tb!$B$12:$AC$193,13,0)</f>
        <v>198709.60999999996</v>
      </c>
      <c r="K106" s="186">
        <f>+VLOOKUP($E106,[1]tb!$B$12:$AC$193,15,0)</f>
        <v>198709.60999999996</v>
      </c>
      <c r="L106" s="186">
        <f>+VLOOKUP($E106,[1]tb!$B$12:$AC$193,17,0)</f>
        <v>198709.60999999996</v>
      </c>
      <c r="M106" s="186">
        <f>+VLOOKUP($E106,[1]tb!$B$12:$AC$193,19,0)</f>
        <v>198709.60999999996</v>
      </c>
      <c r="N106" s="186">
        <f>+VLOOKUP($E106,[1]tb!$B$12:$AC$193,21,0)</f>
        <v>198709.60999999996</v>
      </c>
      <c r="O106" s="186">
        <f>+VLOOKUP($E106,[1]tb!$B$12:$AC$193,23,0)</f>
        <v>198709.60999999996</v>
      </c>
      <c r="P106" s="186">
        <f>+VLOOKUP($E106,[1]tb!$B$12:$AC$193,25,0)</f>
        <v>198709.60999999996</v>
      </c>
      <c r="Q106" s="186">
        <f>+VLOOKUP($E106,[1]tb!$B$12:$AC$193,27,0)</f>
        <v>198709.60999999996</v>
      </c>
      <c r="R106" s="186">
        <f t="shared" si="8"/>
        <v>198709.60999999996</v>
      </c>
    </row>
    <row r="107" spans="1:18" hidden="1">
      <c r="D107" s="204" t="s">
        <v>312</v>
      </c>
      <c r="E107" s="206" t="s">
        <v>90</v>
      </c>
      <c r="F107" s="186">
        <f>+VLOOKUP($E107,[1]tb!$B$12:$AC$193,5,0)</f>
        <v>0</v>
      </c>
      <c r="G107" s="186">
        <f>+VLOOKUP($E107,[1]tb!$B$12:$AC$193,7,0)</f>
        <v>0</v>
      </c>
      <c r="H107" s="186">
        <f>+VLOOKUP($E107,[1]tb!$B$12:$AC$193,9,0)</f>
        <v>0</v>
      </c>
      <c r="I107" s="186">
        <f>+VLOOKUP($E107,[1]tb!$B$12:$AC$193,11,0)</f>
        <v>0</v>
      </c>
      <c r="J107" s="186">
        <f>+VLOOKUP($E107,[1]tb!$B$12:$AC$193,13,0)</f>
        <v>0</v>
      </c>
      <c r="K107" s="186">
        <f>+VLOOKUP($E107,[1]tb!$B$12:$AC$193,15,0)</f>
        <v>0</v>
      </c>
      <c r="L107" s="186">
        <f>+VLOOKUP($E107,[1]tb!$B$12:$AC$193,17,0)</f>
        <v>0</v>
      </c>
      <c r="M107" s="186">
        <f>+VLOOKUP($E107,[1]tb!$B$12:$AC$193,19,0)</f>
        <v>0</v>
      </c>
      <c r="N107" s="186">
        <f>+VLOOKUP($E107,[1]tb!$B$12:$AC$193,21,0)</f>
        <v>0</v>
      </c>
      <c r="O107" s="186">
        <f>+VLOOKUP($E107,[1]tb!$B$12:$AC$193,23,0)</f>
        <v>0</v>
      </c>
      <c r="P107" s="186">
        <f>+VLOOKUP($E107,[1]tb!$B$12:$AC$193,25,0)</f>
        <v>0</v>
      </c>
      <c r="Q107" s="186">
        <f>+VLOOKUP($E107,[1]tb!$B$12:$AC$193,27,0)</f>
        <v>0</v>
      </c>
      <c r="R107" s="186">
        <f t="shared" si="8"/>
        <v>0</v>
      </c>
    </row>
    <row r="108" spans="1:18" hidden="1">
      <c r="D108" s="204" t="s">
        <v>313</v>
      </c>
      <c r="E108" s="206" t="s">
        <v>91</v>
      </c>
      <c r="F108" s="186">
        <f>+VLOOKUP($E108,[1]tb!$B$12:$AC$193,5,0)</f>
        <v>0</v>
      </c>
      <c r="G108" s="186">
        <f>+VLOOKUP($E108,[1]tb!$B$12:$AC$193,7,0)</f>
        <v>1799.9999999999927</v>
      </c>
      <c r="H108" s="186">
        <f>+VLOOKUP($E108,[1]tb!$B$12:$AC$193,9,0)</f>
        <v>0</v>
      </c>
      <c r="I108" s="186">
        <f>+VLOOKUP($E108,[1]tb!$B$12:$AC$193,11,0)</f>
        <v>0</v>
      </c>
      <c r="J108" s="186">
        <f>+VLOOKUP($E108,[1]tb!$B$12:$AC$193,13,0)</f>
        <v>0</v>
      </c>
      <c r="K108" s="186">
        <f>+VLOOKUP($E108,[1]tb!$B$12:$AC$193,15,0)</f>
        <v>0</v>
      </c>
      <c r="L108" s="186">
        <f>+VLOOKUP($E108,[1]tb!$B$12:$AC$193,17,0)</f>
        <v>0</v>
      </c>
      <c r="M108" s="186">
        <f>+VLOOKUP($E108,[1]tb!$B$12:$AC$193,19,0)</f>
        <v>0</v>
      </c>
      <c r="N108" s="186">
        <f>+VLOOKUP($E108,[1]tb!$B$12:$AC$193,21,0)</f>
        <v>0</v>
      </c>
      <c r="O108" s="186">
        <f>+VLOOKUP($E108,[1]tb!$B$12:$AC$193,23,0)</f>
        <v>0</v>
      </c>
      <c r="P108" s="186">
        <f>+VLOOKUP($E108,[1]tb!$B$12:$AC$193,25,0)</f>
        <v>0</v>
      </c>
      <c r="Q108" s="186">
        <f>+VLOOKUP($E108,[1]tb!$B$12:$AC$193,27,0)</f>
        <v>0</v>
      </c>
      <c r="R108" s="186">
        <f t="shared" si="8"/>
        <v>0</v>
      </c>
    </row>
    <row r="109" spans="1:18">
      <c r="D109" s="204" t="s">
        <v>314</v>
      </c>
      <c r="E109" s="206" t="s">
        <v>92</v>
      </c>
      <c r="F109" s="186">
        <f>+VLOOKUP($E109,[1]tb!$B$12:$AC$193,5,0)</f>
        <v>0</v>
      </c>
      <c r="G109" s="186">
        <f>+VLOOKUP($E109,[1]tb!$B$12:$AC$193,7,0)</f>
        <v>0</v>
      </c>
      <c r="H109" s="186">
        <f>+VLOOKUP($E109,[1]tb!$B$12:$AC$193,9,0)</f>
        <v>1700</v>
      </c>
      <c r="I109" s="186">
        <f>+VLOOKUP($E109,[1]tb!$B$12:$AC$193,11,0)</f>
        <v>1700</v>
      </c>
      <c r="J109" s="186">
        <f>+VLOOKUP($E109,[1]tb!$B$12:$AC$193,13,0)</f>
        <v>1700</v>
      </c>
      <c r="K109" s="186">
        <f>+VLOOKUP($E109,[1]tb!$B$12:$AC$193,15,0)</f>
        <v>1700</v>
      </c>
      <c r="L109" s="186">
        <f>+VLOOKUP($E109,[1]tb!$B$12:$AC$193,17,0)</f>
        <v>1700</v>
      </c>
      <c r="M109" s="186">
        <f>+VLOOKUP($E109,[1]tb!$B$12:$AC$193,19,0)</f>
        <v>1700</v>
      </c>
      <c r="N109" s="186">
        <f>+VLOOKUP($E109,[1]tb!$B$12:$AC$193,21,0)</f>
        <v>1700</v>
      </c>
      <c r="O109" s="186">
        <f>+VLOOKUP($E109,[1]tb!$B$12:$AC$193,23,0)</f>
        <v>1700</v>
      </c>
      <c r="P109" s="186">
        <f>+VLOOKUP($E109,[1]tb!$B$12:$AC$193,25,0)</f>
        <v>1700</v>
      </c>
      <c r="Q109" s="186">
        <f>+VLOOKUP($E109,[1]tb!$B$12:$AC$193,27,0)</f>
        <v>1700</v>
      </c>
      <c r="R109" s="186">
        <f t="shared" si="8"/>
        <v>1700</v>
      </c>
    </row>
    <row r="110" spans="1:18" hidden="1">
      <c r="D110" s="204" t="s">
        <v>315</v>
      </c>
      <c r="E110" s="206" t="s">
        <v>93</v>
      </c>
      <c r="F110" s="186">
        <f>+VLOOKUP($E110,[1]tb!$B$12:$AC$193,5,0)</f>
        <v>0</v>
      </c>
      <c r="G110" s="186">
        <f>+VLOOKUP($E110,[1]tb!$B$12:$AC$193,7,0)</f>
        <v>0</v>
      </c>
      <c r="H110" s="186">
        <f>+VLOOKUP($E110,[1]tb!$B$12:$AC$193,9,0)</f>
        <v>0</v>
      </c>
      <c r="I110" s="186">
        <f>+VLOOKUP($E110,[1]tb!$B$12:$AC$193,11,0)</f>
        <v>0</v>
      </c>
      <c r="J110" s="186">
        <f>+VLOOKUP($E110,[1]tb!$B$12:$AC$193,13,0)</f>
        <v>0</v>
      </c>
      <c r="K110" s="186">
        <f>+VLOOKUP($E110,[1]tb!$B$12:$AC$193,15,0)</f>
        <v>0</v>
      </c>
      <c r="L110" s="186">
        <f>+VLOOKUP($E110,[1]tb!$B$12:$AC$193,17,0)</f>
        <v>0</v>
      </c>
      <c r="M110" s="186">
        <f>+VLOOKUP($E110,[1]tb!$B$12:$AC$193,19,0)</f>
        <v>0</v>
      </c>
      <c r="N110" s="186">
        <f>+VLOOKUP($E110,[1]tb!$B$12:$AC$193,21,0)</f>
        <v>0</v>
      </c>
      <c r="O110" s="186">
        <f>+VLOOKUP($E110,[1]tb!$B$12:$AC$193,23,0)</f>
        <v>0</v>
      </c>
      <c r="P110" s="186">
        <f>+VLOOKUP($E110,[1]tb!$B$12:$AC$193,25,0)</f>
        <v>0</v>
      </c>
      <c r="Q110" s="186">
        <f>+VLOOKUP($E110,[1]tb!$B$12:$AC$193,27,0)</f>
        <v>0</v>
      </c>
      <c r="R110" s="186">
        <f t="shared" si="8"/>
        <v>0</v>
      </c>
    </row>
    <row r="111" spans="1:18" hidden="1">
      <c r="D111" s="204" t="s">
        <v>316</v>
      </c>
      <c r="E111" s="206" t="s">
        <v>94</v>
      </c>
      <c r="F111" s="186">
        <f>+VLOOKUP($E111,[1]tb!$B$12:$AC$193,5,0)</f>
        <v>0</v>
      </c>
      <c r="G111" s="186">
        <f>+VLOOKUP($E111,[1]tb!$B$12:$AC$193,7,0)</f>
        <v>0</v>
      </c>
      <c r="H111" s="186">
        <f>+VLOOKUP($E111,[1]tb!$B$12:$AC$193,9,0)</f>
        <v>0</v>
      </c>
      <c r="I111" s="186">
        <f>+VLOOKUP($E111,[1]tb!$B$12:$AC$193,11,0)</f>
        <v>0</v>
      </c>
      <c r="J111" s="186">
        <f>+VLOOKUP($E111,[1]tb!$B$12:$AC$193,13,0)</f>
        <v>0</v>
      </c>
      <c r="K111" s="186">
        <f>+VLOOKUP($E111,[1]tb!$B$12:$AC$193,15,0)</f>
        <v>0</v>
      </c>
      <c r="L111" s="186">
        <f>+VLOOKUP($E111,[1]tb!$B$12:$AC$193,17,0)</f>
        <v>0</v>
      </c>
      <c r="M111" s="186">
        <f>+VLOOKUP($E111,[1]tb!$B$12:$AC$193,19,0)</f>
        <v>0</v>
      </c>
      <c r="N111" s="186">
        <f>+VLOOKUP($E111,[1]tb!$B$12:$AC$193,21,0)</f>
        <v>0</v>
      </c>
      <c r="O111" s="186">
        <f>+VLOOKUP($E111,[1]tb!$B$12:$AC$193,23,0)</f>
        <v>0</v>
      </c>
      <c r="P111" s="186">
        <f>+VLOOKUP($E111,[1]tb!$B$12:$AC$193,25,0)</f>
        <v>0</v>
      </c>
      <c r="Q111" s="186">
        <f>+VLOOKUP($E111,[1]tb!$B$12:$AC$193,27,0)</f>
        <v>0</v>
      </c>
      <c r="R111" s="186">
        <f t="shared" si="8"/>
        <v>0</v>
      </c>
    </row>
    <row r="112" spans="1:18" ht="5.0999999999999996" customHeight="1"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>
      <c r="C113" s="208" t="s">
        <v>319</v>
      </c>
      <c r="F113" s="209">
        <f>+SUM(F114:F115)</f>
        <v>53527.299999999988</v>
      </c>
      <c r="G113" s="209">
        <f>+SUM(G114:G115)</f>
        <v>275</v>
      </c>
      <c r="H113" s="209">
        <f t="shared" ref="H113:Q113" si="25">+SUM(H114:H115)</f>
        <v>274.99999999998545</v>
      </c>
      <c r="I113" s="209">
        <f t="shared" si="25"/>
        <v>274.99999999998545</v>
      </c>
      <c r="J113" s="209">
        <f t="shared" si="25"/>
        <v>274.99999999998545</v>
      </c>
      <c r="K113" s="209">
        <f t="shared" si="25"/>
        <v>274.99999999998545</v>
      </c>
      <c r="L113" s="209">
        <f t="shared" si="25"/>
        <v>274.99999999998545</v>
      </c>
      <c r="M113" s="209">
        <f t="shared" si="25"/>
        <v>274.99999999998545</v>
      </c>
      <c r="N113" s="209">
        <f t="shared" si="25"/>
        <v>274.99999999998545</v>
      </c>
      <c r="O113" s="209">
        <f t="shared" si="25"/>
        <v>274.99999999998545</v>
      </c>
      <c r="P113" s="209">
        <f t="shared" si="25"/>
        <v>274.99999999998545</v>
      </c>
      <c r="Q113" s="209">
        <f t="shared" si="25"/>
        <v>274.99999999998545</v>
      </c>
      <c r="R113" s="209">
        <f t="shared" si="8"/>
        <v>274.99999999998545</v>
      </c>
    </row>
    <row r="114" spans="1:18">
      <c r="D114" s="204" t="s">
        <v>319</v>
      </c>
      <c r="E114" s="206" t="s">
        <v>97</v>
      </c>
      <c r="F114" s="186">
        <f>+VLOOKUP($E114,[1]tb!$B$12:$AC$193,5,0)</f>
        <v>53527.299999999988</v>
      </c>
      <c r="G114" s="186">
        <f>+VLOOKUP($E114,[1]tb!$B$12:$AC$193,7,0)</f>
        <v>275</v>
      </c>
      <c r="H114" s="186">
        <f>+VLOOKUP($E114,[1]tb!$B$12:$AC$193,9,0)</f>
        <v>274.99999999998545</v>
      </c>
      <c r="I114" s="186">
        <f>+VLOOKUP($E114,[1]tb!$B$12:$AC$193,11,0)</f>
        <v>274.99999999998545</v>
      </c>
      <c r="J114" s="186">
        <f>+VLOOKUP($E114,[1]tb!$B$12:$AC$193,13,0)</f>
        <v>274.99999999998545</v>
      </c>
      <c r="K114" s="186">
        <f>+VLOOKUP($E114,[1]tb!$B$12:$AC$193,15,0)</f>
        <v>274.99999999998545</v>
      </c>
      <c r="L114" s="186">
        <f>+VLOOKUP($E114,[1]tb!$B$12:$AC$193,17,0)</f>
        <v>274.99999999998545</v>
      </c>
      <c r="M114" s="186">
        <f>+VLOOKUP($E114,[1]tb!$B$12:$AC$193,19,0)</f>
        <v>274.99999999998545</v>
      </c>
      <c r="N114" s="186">
        <f>+VLOOKUP($E114,[1]tb!$B$12:$AC$193,21,0)</f>
        <v>274.99999999998545</v>
      </c>
      <c r="O114" s="186">
        <f>+VLOOKUP($E114,[1]tb!$B$12:$AC$193,23,0)</f>
        <v>274.99999999998545</v>
      </c>
      <c r="P114" s="186">
        <f>+VLOOKUP($E114,[1]tb!$B$12:$AC$193,25,0)</f>
        <v>274.99999999998545</v>
      </c>
      <c r="Q114" s="186">
        <f>+VLOOKUP($E114,[1]tb!$B$12:$AC$193,27,0)</f>
        <v>274.99999999998545</v>
      </c>
      <c r="R114" s="186">
        <f t="shared" si="8"/>
        <v>274.99999999998545</v>
      </c>
    </row>
    <row r="115" spans="1:18" ht="5.0999999999999996" customHeight="1"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>
      <c r="D116" s="210" t="s">
        <v>720</v>
      </c>
      <c r="F116" s="211">
        <f>+F113+F105+F101</f>
        <v>830135.89</v>
      </c>
      <c r="G116" s="211">
        <f>+G113+G105+G101</f>
        <v>785538.53</v>
      </c>
      <c r="H116" s="211">
        <f t="shared" ref="H116:Q116" si="26">+H113+H105+H101</f>
        <v>790376.41000000015</v>
      </c>
      <c r="I116" s="211">
        <f t="shared" si="26"/>
        <v>790376.41000000015</v>
      </c>
      <c r="J116" s="211">
        <f t="shared" si="26"/>
        <v>790376.41000000015</v>
      </c>
      <c r="K116" s="211">
        <f t="shared" si="26"/>
        <v>790376.41000000015</v>
      </c>
      <c r="L116" s="211">
        <f t="shared" si="26"/>
        <v>790376.41000000015</v>
      </c>
      <c r="M116" s="211">
        <f t="shared" si="26"/>
        <v>790376.41000000015</v>
      </c>
      <c r="N116" s="211">
        <f t="shared" si="26"/>
        <v>790376.41000000015</v>
      </c>
      <c r="O116" s="211">
        <f t="shared" si="26"/>
        <v>790376.41000000015</v>
      </c>
      <c r="P116" s="211">
        <f t="shared" si="26"/>
        <v>790376.41000000015</v>
      </c>
      <c r="Q116" s="211">
        <f t="shared" si="26"/>
        <v>790376.41000000015</v>
      </c>
      <c r="R116" s="211">
        <f>R101+R105+R113</f>
        <v>790376.41000000015</v>
      </c>
    </row>
    <row r="117" spans="1:18" ht="5.0999999999999996" customHeight="1"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1:18">
      <c r="B118" s="208" t="s">
        <v>721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>
        <f t="shared" ref="R118:R128" si="27">+Q118</f>
        <v>0</v>
      </c>
    </row>
    <row r="119" spans="1:18" ht="5.0999999999999996" customHeight="1"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:18">
      <c r="C120" s="208" t="s">
        <v>317</v>
      </c>
      <c r="F120" s="209">
        <f>+SUM(F121:F123)</f>
        <v>65771.63</v>
      </c>
      <c r="G120" s="209">
        <f>+SUM(G121:G123)</f>
        <v>65771.63</v>
      </c>
      <c r="H120" s="209">
        <f t="shared" ref="H120:Q120" si="28">+SUM(H121:H123)</f>
        <v>65771.63</v>
      </c>
      <c r="I120" s="209">
        <f t="shared" si="28"/>
        <v>65771.63</v>
      </c>
      <c r="J120" s="209">
        <f t="shared" si="28"/>
        <v>65771.63</v>
      </c>
      <c r="K120" s="209">
        <f t="shared" si="28"/>
        <v>65771.63</v>
      </c>
      <c r="L120" s="209">
        <f t="shared" si="28"/>
        <v>65771.63</v>
      </c>
      <c r="M120" s="209">
        <f t="shared" si="28"/>
        <v>65771.63</v>
      </c>
      <c r="N120" s="209">
        <f t="shared" si="28"/>
        <v>65771.63</v>
      </c>
      <c r="O120" s="209">
        <f t="shared" si="28"/>
        <v>65771.63</v>
      </c>
      <c r="P120" s="209">
        <f t="shared" si="28"/>
        <v>65771.63</v>
      </c>
      <c r="Q120" s="209">
        <f t="shared" si="28"/>
        <v>65771.63</v>
      </c>
      <c r="R120" s="209">
        <f t="shared" si="27"/>
        <v>65771.63</v>
      </c>
    </row>
    <row r="121" spans="1:18">
      <c r="D121" s="204" t="s">
        <v>317</v>
      </c>
      <c r="E121" s="206" t="s">
        <v>95</v>
      </c>
      <c r="F121" s="186">
        <f>+VLOOKUP($E121,[1]tb!$B$12:$AC$193,5,0)</f>
        <v>0</v>
      </c>
      <c r="G121" s="186">
        <f>+VLOOKUP($E121,[1]tb!$B$12:$AC$193,7,0)</f>
        <v>0</v>
      </c>
      <c r="H121" s="186">
        <f>+VLOOKUP($E121,[1]tb!$B$12:$AC$193,9,0)</f>
        <v>0</v>
      </c>
      <c r="I121" s="186">
        <f>+VLOOKUP($E121,[1]tb!$B$12:$AC$193,11,0)</f>
        <v>0</v>
      </c>
      <c r="J121" s="186">
        <f>+VLOOKUP($E121,[1]tb!$B$12:$AC$193,13,0)</f>
        <v>0</v>
      </c>
      <c r="K121" s="186">
        <f>+VLOOKUP($E121,[1]tb!$B$12:$AC$193,15,0)</f>
        <v>0</v>
      </c>
      <c r="L121" s="186">
        <f>+VLOOKUP($E121,[1]tb!$B$12:$AC$193,17,0)</f>
        <v>0</v>
      </c>
      <c r="M121" s="186">
        <f>+VLOOKUP($E121,[1]tb!$B$12:$AC$193,19,0)</f>
        <v>0</v>
      </c>
      <c r="N121" s="186">
        <f>+VLOOKUP($E121,[1]tb!$B$12:$AC$193,21,0)</f>
        <v>0</v>
      </c>
      <c r="O121" s="186">
        <f>+VLOOKUP($E121,[1]tb!$B$12:$AC$193,23,0)</f>
        <v>0</v>
      </c>
      <c r="P121" s="186">
        <f>+VLOOKUP($E121,[1]tb!$B$12:$AC$193,25,0)</f>
        <v>0</v>
      </c>
      <c r="Q121" s="186">
        <f>+VLOOKUP($E121,[1]tb!$B$12:$AC$193,27,0)</f>
        <v>0</v>
      </c>
      <c r="R121" s="186">
        <f t="shared" si="27"/>
        <v>0</v>
      </c>
    </row>
    <row r="122" spans="1:18">
      <c r="D122" s="204" t="s">
        <v>318</v>
      </c>
      <c r="E122" s="206" t="s">
        <v>96</v>
      </c>
      <c r="F122" s="186">
        <f>+VLOOKUP($E122,[1]tb!$B$12:$AC$193,5,0)</f>
        <v>65771.63</v>
      </c>
      <c r="G122" s="186">
        <f>+VLOOKUP($E122,[1]tb!$B$12:$AC$193,7,0)</f>
        <v>65771.63</v>
      </c>
      <c r="H122" s="186">
        <f>+VLOOKUP($E122,[1]tb!$B$12:$AC$193,9,0)</f>
        <v>65771.63</v>
      </c>
      <c r="I122" s="186">
        <f>+VLOOKUP($E122,[1]tb!$B$12:$AC$193,11,0)</f>
        <v>65771.63</v>
      </c>
      <c r="J122" s="186">
        <f>+VLOOKUP($E122,[1]tb!$B$12:$AC$193,13,0)</f>
        <v>65771.63</v>
      </c>
      <c r="K122" s="186">
        <f>+VLOOKUP($E122,[1]tb!$B$12:$AC$193,15,0)</f>
        <v>65771.63</v>
      </c>
      <c r="L122" s="186">
        <f>+VLOOKUP($E122,[1]tb!$B$12:$AC$193,17,0)</f>
        <v>65771.63</v>
      </c>
      <c r="M122" s="186">
        <f>+VLOOKUP($E122,[1]tb!$B$12:$AC$193,19,0)</f>
        <v>65771.63</v>
      </c>
      <c r="N122" s="186">
        <f>+VLOOKUP($E122,[1]tb!$B$12:$AC$193,21,0)</f>
        <v>65771.63</v>
      </c>
      <c r="O122" s="186">
        <f>+VLOOKUP($E122,[1]tb!$B$12:$AC$193,23,0)</f>
        <v>65771.63</v>
      </c>
      <c r="P122" s="186">
        <f>+VLOOKUP($E122,[1]tb!$B$12:$AC$193,25,0)</f>
        <v>65771.63</v>
      </c>
      <c r="Q122" s="186">
        <f>+VLOOKUP($E122,[1]tb!$B$12:$AC$193,27,0)</f>
        <v>65771.63</v>
      </c>
      <c r="R122" s="186">
        <f t="shared" si="27"/>
        <v>65771.63</v>
      </c>
    </row>
    <row r="123" spans="1:18" ht="5.0999999999999996" customHeight="1"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1:18">
      <c r="D124" s="210" t="s">
        <v>722</v>
      </c>
      <c r="F124" s="211">
        <f>+F120</f>
        <v>65771.63</v>
      </c>
      <c r="G124" s="211">
        <f>+G120</f>
        <v>65771.63</v>
      </c>
      <c r="H124" s="211">
        <f t="shared" ref="H124:Q124" si="29">+H120</f>
        <v>65771.63</v>
      </c>
      <c r="I124" s="211">
        <f t="shared" si="29"/>
        <v>65771.63</v>
      </c>
      <c r="J124" s="211">
        <f t="shared" si="29"/>
        <v>65771.63</v>
      </c>
      <c r="K124" s="211">
        <f t="shared" si="29"/>
        <v>65771.63</v>
      </c>
      <c r="L124" s="211">
        <f t="shared" si="29"/>
        <v>65771.63</v>
      </c>
      <c r="M124" s="211">
        <f t="shared" si="29"/>
        <v>65771.63</v>
      </c>
      <c r="N124" s="211">
        <f t="shared" si="29"/>
        <v>65771.63</v>
      </c>
      <c r="O124" s="211">
        <f t="shared" si="29"/>
        <v>65771.63</v>
      </c>
      <c r="P124" s="211">
        <f t="shared" si="29"/>
        <v>65771.63</v>
      </c>
      <c r="Q124" s="211">
        <f t="shared" si="29"/>
        <v>65771.63</v>
      </c>
      <c r="R124" s="211">
        <f t="shared" si="27"/>
        <v>65771.63</v>
      </c>
    </row>
    <row r="125" spans="1:18" ht="5.0999999999999996" customHeight="1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1:18">
      <c r="D126" s="210" t="s">
        <v>723</v>
      </c>
      <c r="F126" s="209">
        <f>+F124+F116</f>
        <v>895907.52</v>
      </c>
      <c r="G126" s="209">
        <f>+G124+G116</f>
        <v>851310.16</v>
      </c>
      <c r="H126" s="209">
        <f t="shared" ref="H126:Q126" si="30">+H124+H116</f>
        <v>856148.04000000015</v>
      </c>
      <c r="I126" s="209">
        <f t="shared" si="30"/>
        <v>856148.04000000015</v>
      </c>
      <c r="J126" s="209">
        <f t="shared" si="30"/>
        <v>856148.04000000015</v>
      </c>
      <c r="K126" s="209">
        <f t="shared" si="30"/>
        <v>856148.04000000015</v>
      </c>
      <c r="L126" s="209">
        <f t="shared" si="30"/>
        <v>856148.04000000015</v>
      </c>
      <c r="M126" s="209">
        <f t="shared" si="30"/>
        <v>856148.04000000015</v>
      </c>
      <c r="N126" s="209">
        <f t="shared" si="30"/>
        <v>856148.04000000015</v>
      </c>
      <c r="O126" s="209">
        <f t="shared" si="30"/>
        <v>856148.04000000015</v>
      </c>
      <c r="P126" s="209">
        <f t="shared" si="30"/>
        <v>856148.04000000015</v>
      </c>
      <c r="Q126" s="209">
        <f t="shared" si="30"/>
        <v>856148.04000000015</v>
      </c>
      <c r="R126" s="209">
        <f>R116+R120</f>
        <v>856148.04000000015</v>
      </c>
    </row>
    <row r="127" spans="1:18" ht="5.0999999999999996" customHeight="1"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1:18">
      <c r="A128" s="208" t="s">
        <v>724</v>
      </c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>
        <f t="shared" si="27"/>
        <v>0</v>
      </c>
    </row>
    <row r="129" spans="4:19" s="216" customFormat="1">
      <c r="D129" s="216" t="s">
        <v>320</v>
      </c>
      <c r="E129" s="217" t="s">
        <v>98</v>
      </c>
      <c r="F129" s="218">
        <f>+VLOOKUP($E129,[1]tb!$B$12:$AC$193,5,0)</f>
        <v>29148759.349999998</v>
      </c>
      <c r="G129" s="218">
        <f>+VLOOKUP($E129,[1]tb!$B$12:$AC$193,7,0)</f>
        <v>29159126.679999996</v>
      </c>
      <c r="H129" s="218">
        <f>+VLOOKUP($E129,[1]tb!$B$12:$AC$193,9,0)</f>
        <v>29190438.419999998</v>
      </c>
      <c r="I129" s="218">
        <f>+VLOOKUP($E129,[1]tb!$B$12:$AC$193,11,0)</f>
        <v>29190438.419999998</v>
      </c>
      <c r="J129" s="218">
        <f>+VLOOKUP($E129,[1]tb!$B$12:$AC$193,13,0)</f>
        <v>29190438.419999998</v>
      </c>
      <c r="K129" s="218">
        <f>+VLOOKUP($E129,[1]tb!$B$12:$AC$193,15,0)</f>
        <v>29190438.419999998</v>
      </c>
      <c r="L129" s="218">
        <f>+VLOOKUP($E129,[1]tb!$B$12:$AC$193,17,0)</f>
        <v>29190438.419999998</v>
      </c>
      <c r="M129" s="218">
        <f>+VLOOKUP($E129,[1]tb!$B$12:$AC$193,19,0)</f>
        <v>29190438.419999998</v>
      </c>
      <c r="N129" s="218">
        <f>+VLOOKUP($E129,[1]tb!$B$12:$AC$193,21,0)</f>
        <v>29190438.419999998</v>
      </c>
      <c r="O129" s="218">
        <f>+VLOOKUP($E129,[1]tb!$B$12:$AC$193,23,0)</f>
        <v>29190438.419999998</v>
      </c>
      <c r="P129" s="218">
        <f>+VLOOKUP($E129,[1]tb!$B$12:$AC$193,25,0)</f>
        <v>29190438.419999998</v>
      </c>
      <c r="Q129" s="218">
        <f>+VLOOKUP($E129,[1]tb!$B$12:$AC$193,27,0)</f>
        <v>29190438.419999998</v>
      </c>
      <c r="R129" s="218">
        <f>((+Q129)+808803.640000004)-1271501-16019</f>
        <v>28711722.060000002</v>
      </c>
    </row>
    <row r="130" spans="4:19" ht="5.0999999999999996" customHeight="1"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4:19">
      <c r="D131" s="210" t="s">
        <v>725</v>
      </c>
      <c r="F131" s="209">
        <f>+F129</f>
        <v>29148759.349999998</v>
      </c>
      <c r="G131" s="209">
        <f>+G129</f>
        <v>29159126.679999996</v>
      </c>
      <c r="H131" s="209">
        <f t="shared" ref="H131:Q131" si="31">+H129</f>
        <v>29190438.419999998</v>
      </c>
      <c r="I131" s="209">
        <f t="shared" si="31"/>
        <v>29190438.419999998</v>
      </c>
      <c r="J131" s="209">
        <f t="shared" si="31"/>
        <v>29190438.419999998</v>
      </c>
      <c r="K131" s="209">
        <f t="shared" si="31"/>
        <v>29190438.419999998</v>
      </c>
      <c r="L131" s="209">
        <f t="shared" si="31"/>
        <v>29190438.419999998</v>
      </c>
      <c r="M131" s="209">
        <f t="shared" si="31"/>
        <v>29190438.419999998</v>
      </c>
      <c r="N131" s="209">
        <f t="shared" si="31"/>
        <v>29190438.419999998</v>
      </c>
      <c r="O131" s="209">
        <f t="shared" si="31"/>
        <v>29190438.419999998</v>
      </c>
      <c r="P131" s="209">
        <f t="shared" si="31"/>
        <v>29190438.419999998</v>
      </c>
      <c r="Q131" s="209">
        <f t="shared" si="31"/>
        <v>29190438.419999998</v>
      </c>
      <c r="R131" s="209">
        <f>R129</f>
        <v>28711722.060000002</v>
      </c>
    </row>
    <row r="132" spans="4:19" ht="5.0999999999999996" customHeight="1"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4:19" ht="12.75" thickBot="1">
      <c r="D133" s="210" t="s">
        <v>726</v>
      </c>
      <c r="F133" s="214">
        <f>+F131+F126</f>
        <v>30044666.869999997</v>
      </c>
      <c r="G133" s="214">
        <f>+G131+G126</f>
        <v>30010436.839999996</v>
      </c>
      <c r="H133" s="214">
        <f t="shared" ref="H133:Q133" si="32">+H131+H126</f>
        <v>30046586.459999997</v>
      </c>
      <c r="I133" s="214">
        <f t="shared" si="32"/>
        <v>30046586.459999997</v>
      </c>
      <c r="J133" s="214">
        <f t="shared" si="32"/>
        <v>30046586.459999997</v>
      </c>
      <c r="K133" s="214">
        <f t="shared" si="32"/>
        <v>30046586.459999997</v>
      </c>
      <c r="L133" s="214">
        <f t="shared" si="32"/>
        <v>30046586.459999997</v>
      </c>
      <c r="M133" s="214">
        <f t="shared" si="32"/>
        <v>30046586.459999997</v>
      </c>
      <c r="N133" s="214">
        <f t="shared" si="32"/>
        <v>30046586.459999997</v>
      </c>
      <c r="O133" s="214">
        <f t="shared" si="32"/>
        <v>30046586.459999997</v>
      </c>
      <c r="P133" s="214">
        <f t="shared" si="32"/>
        <v>30046586.459999997</v>
      </c>
      <c r="Q133" s="214">
        <f t="shared" si="32"/>
        <v>30046586.459999997</v>
      </c>
      <c r="R133" s="214">
        <f>R131+R126</f>
        <v>29567870.100000001</v>
      </c>
    </row>
    <row r="134" spans="4:19" ht="12.75" thickTop="1"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15"/>
    </row>
    <row r="135" spans="4:19"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15">
        <f>R95-R133</f>
        <v>0</v>
      </c>
    </row>
    <row r="136" spans="4:19"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215"/>
    </row>
    <row r="137" spans="4:19">
      <c r="D137" s="259" t="s">
        <v>506</v>
      </c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215"/>
    </row>
    <row r="138" spans="4:19">
      <c r="D138" s="259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4:19">
      <c r="D139" s="259"/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4:19">
      <c r="D140" s="210" t="s">
        <v>507</v>
      </c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4:19">
      <c r="D141" s="259" t="s">
        <v>508</v>
      </c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4:19"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4:19"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4:19"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6:18"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6:18"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  <row r="147" spans="6:18"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6:18"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6:18"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6:18"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6:18"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6:18"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6:18"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  <row r="154" spans="6:18"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</row>
    <row r="155" spans="6:18"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</row>
    <row r="156" spans="6:18"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6:18"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</row>
    <row r="158" spans="6:18"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</row>
    <row r="159" spans="6:18"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6:18"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6:18"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6:18"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6:18"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</row>
    <row r="164" spans="6:18"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6:18"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6:18"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6:18"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</row>
    <row r="168" spans="6:18"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</row>
    <row r="169" spans="6:18"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</row>
    <row r="170" spans="6:18"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6:18"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6:18"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</row>
    <row r="173" spans="6:18"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</row>
    <row r="174" spans="6:18"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</row>
    <row r="175" spans="6:18"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</row>
    <row r="176" spans="6:18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</row>
    <row r="177" spans="6:18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</row>
    <row r="178" spans="6:18"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</row>
    <row r="179" spans="6:18"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</row>
    <row r="180" spans="6:18"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</row>
    <row r="181" spans="6:18"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</row>
    <row r="182" spans="6:18"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</row>
    <row r="183" spans="6:18"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</row>
    <row r="184" spans="6:18"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6:18"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</row>
    <row r="186" spans="6:18"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</row>
    <row r="187" spans="6:18"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</row>
    <row r="188" spans="6:18"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</row>
    <row r="189" spans="6:18"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</row>
    <row r="190" spans="6:18"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</row>
    <row r="191" spans="6:18"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</row>
    <row r="192" spans="6:18"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6:18"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</row>
    <row r="194" spans="6:18"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</row>
    <row r="195" spans="6:18"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</row>
    <row r="196" spans="6:18"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</row>
    <row r="197" spans="6:18"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</row>
    <row r="198" spans="6:18"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</row>
    <row r="199" spans="6:18"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</row>
    <row r="200" spans="6:18"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</row>
    <row r="201" spans="6:18"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</row>
    <row r="202" spans="6:18"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6:18"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</row>
    <row r="204" spans="6:18"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</row>
    <row r="205" spans="6:18"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</row>
    <row r="206" spans="6:18"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</row>
    <row r="207" spans="6:18"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</row>
    <row r="208" spans="6:18"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</row>
    <row r="209" spans="6:18"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</row>
    <row r="210" spans="6:18"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</row>
    <row r="211" spans="6:18"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6:18"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</row>
    <row r="213" spans="6:18"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</row>
    <row r="214" spans="6:18"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</row>
    <row r="215" spans="6:18"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</row>
    <row r="216" spans="6:18"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6:18"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</row>
    <row r="218" spans="6:18"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</row>
    <row r="219" spans="6:18"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</row>
    <row r="220" spans="6:18"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</row>
    <row r="221" spans="6:18"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</row>
    <row r="222" spans="6:18"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</row>
    <row r="223" spans="6:18"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</row>
    <row r="224" spans="6:18"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</row>
    <row r="225" spans="6:18"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</row>
    <row r="226" spans="6:18"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</row>
    <row r="227" spans="6:18"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</row>
    <row r="228" spans="6:18"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</row>
    <row r="229" spans="6:18"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</row>
    <row r="230" spans="6:18"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</row>
    <row r="231" spans="6:18"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</row>
  </sheetData>
  <mergeCells count="5">
    <mergeCell ref="A1:R1"/>
    <mergeCell ref="A2:R2"/>
    <mergeCell ref="A3:R3"/>
    <mergeCell ref="A5:R5"/>
    <mergeCell ref="A6:R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S231"/>
  <sheetViews>
    <sheetView workbookViewId="0">
      <selection activeCell="S141" sqref="S141"/>
    </sheetView>
  </sheetViews>
  <sheetFormatPr defaultRowHeight="12" outlineLevelCol="1"/>
  <cols>
    <col min="1" max="3" width="3.7109375" style="204" customWidth="1"/>
    <col min="4" max="4" width="60.7109375" style="204" customWidth="1"/>
    <col min="5" max="5" width="1.7109375" style="206" customWidth="1"/>
    <col min="6" max="17" width="15.7109375" style="204" hidden="1" customWidth="1" outlineLevel="1"/>
    <col min="18" max="18" width="15.7109375" style="204" customWidth="1" collapsed="1"/>
    <col min="19" max="19" width="12" style="204" bestFit="1" customWidth="1"/>
    <col min="20" max="16384" width="9.140625" style="204"/>
  </cols>
  <sheetData>
    <row r="1" spans="1:18">
      <c r="A1" s="320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321" t="s">
        <v>668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>
      <c r="A3" s="320" t="s">
        <v>669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5.0999999999999996" customHeight="1">
      <c r="A4" s="205"/>
      <c r="B4" s="205"/>
      <c r="C4" s="205"/>
      <c r="D4" s="205"/>
    </row>
    <row r="5" spans="1:18">
      <c r="A5" s="320" t="s">
        <v>732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5.0999999999999996" customHeight="1"/>
    <row r="8" spans="1:18">
      <c r="F8" s="207">
        <v>42400</v>
      </c>
      <c r="G8" s="207">
        <v>42429</v>
      </c>
      <c r="H8" s="207">
        <v>42460</v>
      </c>
      <c r="I8" s="207">
        <v>42490</v>
      </c>
      <c r="J8" s="207">
        <v>42521</v>
      </c>
      <c r="K8" s="207">
        <v>42551</v>
      </c>
      <c r="L8" s="207">
        <v>42582</v>
      </c>
      <c r="M8" s="207">
        <v>42613</v>
      </c>
      <c r="N8" s="207">
        <v>42643</v>
      </c>
      <c r="O8" s="207">
        <v>42674</v>
      </c>
      <c r="P8" s="207">
        <v>42704</v>
      </c>
      <c r="Q8" s="207">
        <v>42735</v>
      </c>
    </row>
    <row r="9" spans="1:18">
      <c r="A9" s="208" t="s">
        <v>704</v>
      </c>
    </row>
    <row r="10" spans="1:18">
      <c r="B10" s="208" t="s">
        <v>705</v>
      </c>
    </row>
    <row r="11" spans="1:18" ht="5.0999999999999996" customHeight="1">
      <c r="B11" s="2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 hidden="1">
      <c r="C12" s="208" t="s">
        <v>706</v>
      </c>
      <c r="F12" s="209">
        <f>+SUM(F13:F22)</f>
        <v>1331902.9900000002</v>
      </c>
      <c r="G12" s="209">
        <f>+SUM(G13:G22)</f>
        <v>1832825.7100000004</v>
      </c>
      <c r="H12" s="209">
        <f t="shared" ref="H12:Q12" si="0">+SUM(H13:H22)</f>
        <v>1974064.8700000006</v>
      </c>
      <c r="I12" s="209">
        <f t="shared" si="0"/>
        <v>1974064.8700000006</v>
      </c>
      <c r="J12" s="209">
        <f t="shared" si="0"/>
        <v>1974064.8700000006</v>
      </c>
      <c r="K12" s="209">
        <f t="shared" si="0"/>
        <v>1974064.8700000006</v>
      </c>
      <c r="L12" s="209">
        <f t="shared" si="0"/>
        <v>1974064.8700000006</v>
      </c>
      <c r="M12" s="209">
        <f t="shared" si="0"/>
        <v>1974064.8700000006</v>
      </c>
      <c r="N12" s="209">
        <f t="shared" si="0"/>
        <v>1974064.8700000006</v>
      </c>
      <c r="O12" s="209">
        <f t="shared" si="0"/>
        <v>1974064.8700000006</v>
      </c>
      <c r="P12" s="209">
        <f t="shared" si="0"/>
        <v>1974064.8700000006</v>
      </c>
      <c r="Q12" s="209">
        <f t="shared" si="0"/>
        <v>1974064.8700000006</v>
      </c>
      <c r="R12" s="209">
        <f>SUM(R13:R21)</f>
        <v>4.6566128730773926E-10</v>
      </c>
    </row>
    <row r="13" spans="1:18" hidden="1">
      <c r="D13" s="204" t="s">
        <v>232</v>
      </c>
      <c r="E13" s="206" t="s">
        <v>10</v>
      </c>
      <c r="F13" s="186">
        <f>+VLOOKUP($E13,[1]tb!$B$12:$AC$193,4,0)</f>
        <v>150</v>
      </c>
      <c r="G13" s="186">
        <f>+VLOOKUP($E13,[1]tb!$B$12:$AC$193,6,0)</f>
        <v>105</v>
      </c>
      <c r="H13" s="186">
        <f>+VLOOKUP($E13,[1]tb!$B$12:$AC$193,8,0)</f>
        <v>105</v>
      </c>
      <c r="I13" s="186">
        <f>+VLOOKUP($E13,[1]tb!$B$12:$AC$193,10,0)</f>
        <v>105</v>
      </c>
      <c r="J13" s="186">
        <f>+VLOOKUP($E13,[1]tb!$B$12:$AC$193,12,0)</f>
        <v>105</v>
      </c>
      <c r="K13" s="186">
        <f>+VLOOKUP($E13,[1]tb!$B$12:$AC$193,14,0)</f>
        <v>105</v>
      </c>
      <c r="L13" s="186">
        <f>+VLOOKUP($E13,[1]tb!$B$12:$AC$193,16,0)</f>
        <v>105</v>
      </c>
      <c r="M13" s="186">
        <f>+VLOOKUP($E13,[1]tb!$B$12:$AC$193,18,0)</f>
        <v>105</v>
      </c>
      <c r="N13" s="186">
        <f>+VLOOKUP($E13,[1]tb!$B$12:$AC$193,20,0)</f>
        <v>105</v>
      </c>
      <c r="O13" s="186">
        <f>+VLOOKUP($E13,[1]tb!$B$12:$AC$193,22,0)</f>
        <v>105</v>
      </c>
      <c r="P13" s="186">
        <f>+VLOOKUP($E13,[1]tb!$B$12:$AC$193,24,0)</f>
        <v>105</v>
      </c>
      <c r="Q13" s="186">
        <f>+VLOOKUP($E13,[1]tb!$B$12:$AC$193,26,0)</f>
        <v>105</v>
      </c>
      <c r="R13" s="186"/>
    </row>
    <row r="14" spans="1:18" hidden="1">
      <c r="D14" s="204" t="s">
        <v>233</v>
      </c>
      <c r="E14" s="206" t="s">
        <v>11</v>
      </c>
      <c r="F14" s="186">
        <f>+VLOOKUP($E14,[1]tb!$B$12:$AC$193,4,0)</f>
        <v>0</v>
      </c>
      <c r="G14" s="186">
        <f>+VLOOKUP($E14,[1]tb!$B$12:$AC$193,6,0)</f>
        <v>0</v>
      </c>
      <c r="H14" s="186">
        <f>+VLOOKUP($E14,[1]tb!$B$12:$AC$193,8,0)</f>
        <v>40000</v>
      </c>
      <c r="I14" s="186">
        <f>+VLOOKUP($E14,[1]tb!$B$12:$AC$193,10,0)</f>
        <v>40000</v>
      </c>
      <c r="J14" s="186">
        <f>+VLOOKUP($E14,[1]tb!$B$12:$AC$193,12,0)</f>
        <v>40000</v>
      </c>
      <c r="K14" s="186">
        <f>+VLOOKUP($E14,[1]tb!$B$12:$AC$193,14,0)</f>
        <v>40000</v>
      </c>
      <c r="L14" s="186">
        <f>+VLOOKUP($E14,[1]tb!$B$12:$AC$193,16,0)</f>
        <v>40000</v>
      </c>
      <c r="M14" s="186">
        <f>+VLOOKUP($E14,[1]tb!$B$12:$AC$193,18,0)</f>
        <v>40000</v>
      </c>
      <c r="N14" s="186">
        <f>+VLOOKUP($E14,[1]tb!$B$12:$AC$193,20,0)</f>
        <v>40000</v>
      </c>
      <c r="O14" s="186">
        <f>+VLOOKUP($E14,[1]tb!$B$12:$AC$193,22,0)</f>
        <v>40000</v>
      </c>
      <c r="P14" s="186">
        <f>+VLOOKUP($E14,[1]tb!$B$12:$AC$193,24,0)</f>
        <v>40000</v>
      </c>
      <c r="Q14" s="186">
        <f>+VLOOKUP($E14,[1]tb!$B$12:$AC$193,26,0)</f>
        <v>40000</v>
      </c>
      <c r="R14" s="186"/>
    </row>
    <row r="15" spans="1:18" hidden="1">
      <c r="D15" s="204" t="s">
        <v>234</v>
      </c>
      <c r="E15" s="206" t="s">
        <v>12</v>
      </c>
      <c r="F15" s="186">
        <f>+VLOOKUP($E15,[1]tb!$B$12:$AC$193,4,0)</f>
        <v>662458.87</v>
      </c>
      <c r="G15" s="186">
        <f>+VLOOKUP($E15,[1]tb!$B$12:$AC$193,6,0)</f>
        <v>662458.87</v>
      </c>
      <c r="H15" s="186">
        <f>+VLOOKUP($E15,[1]tb!$B$12:$AC$193,8,0)</f>
        <v>662458.87</v>
      </c>
      <c r="I15" s="186">
        <f>+VLOOKUP($E15,[1]tb!$B$12:$AC$193,10,0)</f>
        <v>662458.87</v>
      </c>
      <c r="J15" s="186">
        <f>+VLOOKUP($E15,[1]tb!$B$12:$AC$193,12,0)</f>
        <v>662458.87</v>
      </c>
      <c r="K15" s="186">
        <f>+VLOOKUP($E15,[1]tb!$B$12:$AC$193,14,0)</f>
        <v>662458.87</v>
      </c>
      <c r="L15" s="186">
        <f>+VLOOKUP($E15,[1]tb!$B$12:$AC$193,16,0)</f>
        <v>662458.87</v>
      </c>
      <c r="M15" s="186">
        <f>+VLOOKUP($E15,[1]tb!$B$12:$AC$193,18,0)</f>
        <v>662458.87</v>
      </c>
      <c r="N15" s="186">
        <f>+VLOOKUP($E15,[1]tb!$B$12:$AC$193,20,0)</f>
        <v>662458.87</v>
      </c>
      <c r="O15" s="186">
        <f>+VLOOKUP($E15,[1]tb!$B$12:$AC$193,22,0)</f>
        <v>662458.87</v>
      </c>
      <c r="P15" s="186">
        <f>+VLOOKUP($E15,[1]tb!$B$12:$AC$193,24,0)</f>
        <v>662458.87</v>
      </c>
      <c r="Q15" s="186">
        <f>+VLOOKUP($E15,[1]tb!$B$12:$AC$193,26,0)</f>
        <v>662458.87</v>
      </c>
      <c r="R15" s="186"/>
    </row>
    <row r="16" spans="1:18" hidden="1">
      <c r="D16" s="204" t="s">
        <v>235</v>
      </c>
      <c r="E16" s="206" t="s">
        <v>13</v>
      </c>
      <c r="F16" s="186">
        <f>+VLOOKUP($E16,[1]tb!$B$12:$AC$193,4,0)</f>
        <v>403315</v>
      </c>
      <c r="G16" s="186">
        <f>+VLOOKUP($E16,[1]tb!$B$12:$AC$193,6,0)</f>
        <v>832741</v>
      </c>
      <c r="H16" s="186">
        <f>+VLOOKUP($E16,[1]tb!$B$12:$AC$193,8,0)</f>
        <v>1271501</v>
      </c>
      <c r="I16" s="186">
        <f>+VLOOKUP($E16,[1]tb!$B$12:$AC$193,10,0)</f>
        <v>1271501</v>
      </c>
      <c r="J16" s="186">
        <f>+VLOOKUP($E16,[1]tb!$B$12:$AC$193,12,0)</f>
        <v>1271501</v>
      </c>
      <c r="K16" s="186">
        <f>+VLOOKUP($E16,[1]tb!$B$12:$AC$193,14,0)</f>
        <v>1271501</v>
      </c>
      <c r="L16" s="186">
        <f>+VLOOKUP($E16,[1]tb!$B$12:$AC$193,16,0)</f>
        <v>1271501</v>
      </c>
      <c r="M16" s="186">
        <f>+VLOOKUP($E16,[1]tb!$B$12:$AC$193,18,0)</f>
        <v>1271501</v>
      </c>
      <c r="N16" s="186">
        <f>+VLOOKUP($E16,[1]tb!$B$12:$AC$193,20,0)</f>
        <v>1271501</v>
      </c>
      <c r="O16" s="186">
        <f>+VLOOKUP($E16,[1]tb!$B$12:$AC$193,22,0)</f>
        <v>1271501</v>
      </c>
      <c r="P16" s="186">
        <f>+VLOOKUP($E16,[1]tb!$B$12:$AC$193,24,0)</f>
        <v>1271501</v>
      </c>
      <c r="Q16" s="186">
        <f>+VLOOKUP($E16,[1]tb!$B$12:$AC$193,26,0)</f>
        <v>1271501</v>
      </c>
      <c r="R16" s="186"/>
    </row>
    <row r="17" spans="3:18" hidden="1">
      <c r="D17" s="204" t="s">
        <v>236</v>
      </c>
      <c r="E17" s="206" t="s">
        <v>14</v>
      </c>
      <c r="F17" s="186">
        <f>+VLOOKUP($E17,[1]tb!$B$12:$AC$193,4,0)</f>
        <v>0</v>
      </c>
      <c r="G17" s="186">
        <f>+VLOOKUP($E17,[1]tb!$B$12:$AC$193,6,0)</f>
        <v>0</v>
      </c>
      <c r="H17" s="186">
        <f>+VLOOKUP($E17,[1]tb!$B$12:$AC$193,8,0)</f>
        <v>0</v>
      </c>
      <c r="I17" s="186">
        <f>+VLOOKUP($E17,[1]tb!$B$12:$AC$193,10,0)</f>
        <v>0</v>
      </c>
      <c r="J17" s="186">
        <f>+VLOOKUP($E17,[1]tb!$B$12:$AC$193,12,0)</f>
        <v>0</v>
      </c>
      <c r="K17" s="186">
        <f>+VLOOKUP($E17,[1]tb!$B$12:$AC$193,14,0)</f>
        <v>0</v>
      </c>
      <c r="L17" s="186">
        <f>+VLOOKUP($E17,[1]tb!$B$12:$AC$193,16,0)</f>
        <v>0</v>
      </c>
      <c r="M17" s="186">
        <f>+VLOOKUP($E17,[1]tb!$B$12:$AC$193,18,0)</f>
        <v>0</v>
      </c>
      <c r="N17" s="186">
        <f>+VLOOKUP($E17,[1]tb!$B$12:$AC$193,20,0)</f>
        <v>0</v>
      </c>
      <c r="O17" s="186">
        <f>+VLOOKUP($E17,[1]tb!$B$12:$AC$193,22,0)</f>
        <v>0</v>
      </c>
      <c r="P17" s="186">
        <f>+VLOOKUP($E17,[1]tb!$B$12:$AC$193,24,0)</f>
        <v>0</v>
      </c>
      <c r="Q17" s="186">
        <f>+VLOOKUP($E17,[1]tb!$B$12:$AC$193,26,0)</f>
        <v>0</v>
      </c>
      <c r="R17" s="186">
        <f t="shared" ref="R17:R21" si="1">+Q17</f>
        <v>0</v>
      </c>
    </row>
    <row r="18" spans="3:18" hidden="1">
      <c r="D18" s="204" t="s">
        <v>237</v>
      </c>
      <c r="E18" s="206" t="s">
        <v>15</v>
      </c>
      <c r="F18" s="186">
        <f>+VLOOKUP($E18,[1]tb!$B$12:$AC$193,4,0)</f>
        <v>0</v>
      </c>
      <c r="G18" s="186">
        <f>+VLOOKUP($E18,[1]tb!$B$12:$AC$193,6,0)</f>
        <v>0</v>
      </c>
      <c r="H18" s="186">
        <f>+VLOOKUP($E18,[1]tb!$B$12:$AC$193,8,0)</f>
        <v>0</v>
      </c>
      <c r="I18" s="186">
        <f>+VLOOKUP($E18,[1]tb!$B$12:$AC$193,10,0)</f>
        <v>0</v>
      </c>
      <c r="J18" s="186">
        <f>+VLOOKUP($E18,[1]tb!$B$12:$AC$193,12,0)</f>
        <v>0</v>
      </c>
      <c r="K18" s="186">
        <f>+VLOOKUP($E18,[1]tb!$B$12:$AC$193,14,0)</f>
        <v>0</v>
      </c>
      <c r="L18" s="186">
        <f>+VLOOKUP($E18,[1]tb!$B$12:$AC$193,16,0)</f>
        <v>0</v>
      </c>
      <c r="M18" s="186">
        <f>+VLOOKUP($E18,[1]tb!$B$12:$AC$193,18,0)</f>
        <v>0</v>
      </c>
      <c r="N18" s="186">
        <f>+VLOOKUP($E18,[1]tb!$B$12:$AC$193,20,0)</f>
        <v>0</v>
      </c>
      <c r="O18" s="186">
        <f>+VLOOKUP($E18,[1]tb!$B$12:$AC$193,22,0)</f>
        <v>0</v>
      </c>
      <c r="P18" s="186">
        <f>+VLOOKUP($E18,[1]tb!$B$12:$AC$193,24,0)</f>
        <v>0</v>
      </c>
      <c r="Q18" s="186">
        <f>+VLOOKUP($E18,[1]tb!$B$12:$AC$193,26,0)</f>
        <v>0</v>
      </c>
      <c r="R18" s="186">
        <f t="shared" si="1"/>
        <v>0</v>
      </c>
    </row>
    <row r="19" spans="3:18" hidden="1">
      <c r="D19" s="204" t="s">
        <v>238</v>
      </c>
      <c r="E19" s="206" t="s">
        <v>16</v>
      </c>
      <c r="F19" s="186">
        <f>+VLOOKUP($E19,[1]tb!$B$12:$AC$193,4,0)</f>
        <v>265979.12000000011</v>
      </c>
      <c r="G19" s="186">
        <f>+VLOOKUP($E19,[1]tb!$B$12:$AC$193,6,0)</f>
        <v>337520.84000000032</v>
      </c>
      <c r="H19" s="186">
        <f>+VLOOKUP($E19,[1]tb!$B$12:$AC$193,8,0)</f>
        <v>4.6566128730773926E-10</v>
      </c>
      <c r="I19" s="186">
        <f>+VLOOKUP($E19,[1]tb!$B$12:$AC$193,10,0)</f>
        <v>4.6566128730773926E-10</v>
      </c>
      <c r="J19" s="186">
        <f>+VLOOKUP($E19,[1]tb!$B$12:$AC$193,12,0)</f>
        <v>4.6566128730773926E-10</v>
      </c>
      <c r="K19" s="186">
        <f>+VLOOKUP($E19,[1]tb!$B$12:$AC$193,14,0)</f>
        <v>4.6566128730773926E-10</v>
      </c>
      <c r="L19" s="186">
        <f>+VLOOKUP($E19,[1]tb!$B$12:$AC$193,16,0)</f>
        <v>4.6566128730773926E-10</v>
      </c>
      <c r="M19" s="186">
        <f>+VLOOKUP($E19,[1]tb!$B$12:$AC$193,18,0)</f>
        <v>4.6566128730773926E-10</v>
      </c>
      <c r="N19" s="186">
        <f>+VLOOKUP($E19,[1]tb!$B$12:$AC$193,20,0)</f>
        <v>4.6566128730773926E-10</v>
      </c>
      <c r="O19" s="186">
        <f>+VLOOKUP($E19,[1]tb!$B$12:$AC$193,22,0)</f>
        <v>4.6566128730773926E-10</v>
      </c>
      <c r="P19" s="186">
        <f>+VLOOKUP($E19,[1]tb!$B$12:$AC$193,24,0)</f>
        <v>4.6566128730773926E-10</v>
      </c>
      <c r="Q19" s="186">
        <f>+VLOOKUP($E19,[1]tb!$B$12:$AC$193,26,0)</f>
        <v>4.6566128730773926E-10</v>
      </c>
      <c r="R19" s="186">
        <f t="shared" si="1"/>
        <v>4.6566128730773926E-10</v>
      </c>
    </row>
    <row r="20" spans="3:18" hidden="1">
      <c r="D20" s="204" t="s">
        <v>239</v>
      </c>
      <c r="E20" s="206" t="s">
        <v>17</v>
      </c>
      <c r="F20" s="186">
        <f>+VLOOKUP($E20,[1]tb!$B$12:$AC$193,4,0)</f>
        <v>0</v>
      </c>
      <c r="G20" s="186">
        <f>+VLOOKUP($E20,[1]tb!$B$12:$AC$193,6,0)</f>
        <v>0</v>
      </c>
      <c r="H20" s="186">
        <f>+VLOOKUP($E20,[1]tb!$B$12:$AC$193,8,0)</f>
        <v>0</v>
      </c>
      <c r="I20" s="186">
        <f>+VLOOKUP($E20,[1]tb!$B$12:$AC$193,10,0)</f>
        <v>0</v>
      </c>
      <c r="J20" s="186">
        <f>+VLOOKUP($E20,[1]tb!$B$12:$AC$193,12,0)</f>
        <v>0</v>
      </c>
      <c r="K20" s="186">
        <f>+VLOOKUP($E20,[1]tb!$B$12:$AC$193,14,0)</f>
        <v>0</v>
      </c>
      <c r="L20" s="186">
        <f>+VLOOKUP($E20,[1]tb!$B$12:$AC$193,16,0)</f>
        <v>0</v>
      </c>
      <c r="M20" s="186">
        <f>+VLOOKUP($E20,[1]tb!$B$12:$AC$193,18,0)</f>
        <v>0</v>
      </c>
      <c r="N20" s="186">
        <f>+VLOOKUP($E20,[1]tb!$B$12:$AC$193,20,0)</f>
        <v>0</v>
      </c>
      <c r="O20" s="186">
        <f>+VLOOKUP($E20,[1]tb!$B$12:$AC$193,22,0)</f>
        <v>0</v>
      </c>
      <c r="P20" s="186">
        <f>+VLOOKUP($E20,[1]tb!$B$12:$AC$193,24,0)</f>
        <v>0</v>
      </c>
      <c r="Q20" s="186">
        <f>+VLOOKUP($E20,[1]tb!$B$12:$AC$193,26,0)</f>
        <v>0</v>
      </c>
      <c r="R20" s="186">
        <f t="shared" si="1"/>
        <v>0</v>
      </c>
    </row>
    <row r="21" spans="3:18" hidden="1">
      <c r="D21" s="204" t="s">
        <v>707</v>
      </c>
      <c r="E21" s="206" t="s">
        <v>675</v>
      </c>
      <c r="F21" s="186">
        <f>+VLOOKUP($E21,[1]tb!$B$12:$AC$193,4,0)</f>
        <v>0</v>
      </c>
      <c r="G21" s="186">
        <f>+VLOOKUP($E21,[1]tb!$B$12:$AC$193,6,0)</f>
        <v>0</v>
      </c>
      <c r="H21" s="186">
        <f>+VLOOKUP($E21,[1]tb!$B$12:$AC$193,8,0)</f>
        <v>0</v>
      </c>
      <c r="I21" s="186">
        <f>+VLOOKUP($E21,[1]tb!$B$12:$AC$193,10,0)</f>
        <v>0</v>
      </c>
      <c r="J21" s="186">
        <f>+VLOOKUP($E21,[1]tb!$B$12:$AC$193,12,0)</f>
        <v>0</v>
      </c>
      <c r="K21" s="186">
        <f>+VLOOKUP($E21,[1]tb!$B$12:$AC$193,14,0)</f>
        <v>0</v>
      </c>
      <c r="L21" s="186">
        <f>+VLOOKUP($E21,[1]tb!$B$12:$AC$193,16,0)</f>
        <v>0</v>
      </c>
      <c r="M21" s="186">
        <f>+VLOOKUP($E21,[1]tb!$B$12:$AC$193,18,0)</f>
        <v>0</v>
      </c>
      <c r="N21" s="186">
        <f>+VLOOKUP($E21,[1]tb!$B$12:$AC$193,20,0)</f>
        <v>0</v>
      </c>
      <c r="O21" s="186">
        <f>+VLOOKUP($E21,[1]tb!$B$12:$AC$193,22,0)</f>
        <v>0</v>
      </c>
      <c r="P21" s="186">
        <f>+VLOOKUP($E21,[1]tb!$B$12:$AC$193,24,0)</f>
        <v>0</v>
      </c>
      <c r="Q21" s="186">
        <f>+VLOOKUP($E21,[1]tb!$B$12:$AC$193,26,0)</f>
        <v>0</v>
      </c>
      <c r="R21" s="186">
        <f t="shared" si="1"/>
        <v>0</v>
      </c>
    </row>
    <row r="22" spans="3:18" ht="5.0999999999999996" customHeight="1"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</row>
    <row r="23" spans="3:18">
      <c r="C23" s="208" t="s">
        <v>708</v>
      </c>
      <c r="F23" s="209">
        <f>+SUM(F24:F28)</f>
        <v>155908.79999999999</v>
      </c>
      <c r="G23" s="209">
        <f>+SUM(G24:G28)</f>
        <v>155908.79999999999</v>
      </c>
      <c r="H23" s="209">
        <f t="shared" ref="H23:Q23" si="2">+SUM(H24:H28)</f>
        <v>172858.80000000005</v>
      </c>
      <c r="I23" s="209">
        <f t="shared" si="2"/>
        <v>172858.80000000005</v>
      </c>
      <c r="J23" s="209">
        <f t="shared" si="2"/>
        <v>172858.80000000005</v>
      </c>
      <c r="K23" s="209">
        <f t="shared" si="2"/>
        <v>172858.80000000005</v>
      </c>
      <c r="L23" s="209">
        <f t="shared" si="2"/>
        <v>172858.80000000005</v>
      </c>
      <c r="M23" s="209">
        <f t="shared" si="2"/>
        <v>172858.80000000005</v>
      </c>
      <c r="N23" s="209">
        <f t="shared" si="2"/>
        <v>172858.80000000005</v>
      </c>
      <c r="O23" s="209">
        <f t="shared" si="2"/>
        <v>172858.80000000005</v>
      </c>
      <c r="P23" s="209">
        <f t="shared" si="2"/>
        <v>172858.80000000005</v>
      </c>
      <c r="Q23" s="209">
        <f t="shared" si="2"/>
        <v>172858.80000000005</v>
      </c>
      <c r="R23" s="209">
        <f>R25+R26+R27</f>
        <v>16019</v>
      </c>
    </row>
    <row r="24" spans="3:18" hidden="1">
      <c r="D24" s="204" t="s">
        <v>240</v>
      </c>
      <c r="E24" s="206" t="s">
        <v>18</v>
      </c>
      <c r="F24" s="186">
        <f>+VLOOKUP($E24,[1]tb!$B$12:$AC$193,4,0)</f>
        <v>0</v>
      </c>
      <c r="G24" s="186">
        <f>+VLOOKUP($E24,[1]tb!$B$12:$AC$193,6,0)</f>
        <v>0</v>
      </c>
      <c r="H24" s="186">
        <f>+VLOOKUP($E24,[1]tb!$B$12:$AC$193,8,0)</f>
        <v>0</v>
      </c>
      <c r="I24" s="186">
        <f>+VLOOKUP($E24,[1]tb!$B$12:$AC$193,10,0)</f>
        <v>0</v>
      </c>
      <c r="J24" s="186">
        <f>+VLOOKUP($E24,[1]tb!$B$12:$AC$193,12,0)</f>
        <v>0</v>
      </c>
      <c r="K24" s="186">
        <f>+VLOOKUP($E24,[1]tb!$B$12:$AC$193,14,0)</f>
        <v>0</v>
      </c>
      <c r="L24" s="186">
        <f>+VLOOKUP($E24,[1]tb!$B$12:$AC$193,16,0)</f>
        <v>0</v>
      </c>
      <c r="M24" s="186">
        <f>+VLOOKUP($E24,[1]tb!$B$12:$AC$193,18,0)</f>
        <v>0</v>
      </c>
      <c r="N24" s="186">
        <f>+VLOOKUP($E24,[1]tb!$B$12:$AC$193,20,0)</f>
        <v>0</v>
      </c>
      <c r="O24" s="186">
        <f>+VLOOKUP($E24,[1]tb!$B$12:$AC$193,22,0)</f>
        <v>0</v>
      </c>
      <c r="P24" s="186">
        <f>+VLOOKUP($E24,[1]tb!$B$12:$AC$193,24,0)</f>
        <v>0</v>
      </c>
      <c r="Q24" s="186">
        <f>+VLOOKUP($E24,[1]tb!$B$12:$AC$193,26,0)</f>
        <v>0</v>
      </c>
      <c r="R24" s="186">
        <f t="shared" ref="R24:R36" si="3">+Q24</f>
        <v>0</v>
      </c>
    </row>
    <row r="25" spans="3:18" hidden="1">
      <c r="D25" s="204" t="s">
        <v>245</v>
      </c>
      <c r="E25" s="206" t="s">
        <v>23</v>
      </c>
      <c r="F25" s="186">
        <f>+VLOOKUP($E25,[1]tb!$B$12:$AC$193,4,0)</f>
        <v>150868.79999999999</v>
      </c>
      <c r="G25" s="186">
        <f>+VLOOKUP($E25,[1]tb!$B$12:$AC$193,6,0)</f>
        <v>150868.79999999999</v>
      </c>
      <c r="H25" s="186">
        <f>+VLOOKUP($E25,[1]tb!$B$12:$AC$193,8,0)</f>
        <v>150868.79999999999</v>
      </c>
      <c r="I25" s="186">
        <f>+VLOOKUP($E25,[1]tb!$B$12:$AC$193,10,0)</f>
        <v>150868.79999999999</v>
      </c>
      <c r="J25" s="186">
        <f>+VLOOKUP($E25,[1]tb!$B$12:$AC$193,12,0)</f>
        <v>150868.79999999999</v>
      </c>
      <c r="K25" s="186">
        <f>+VLOOKUP($E25,[1]tb!$B$12:$AC$193,14,0)</f>
        <v>150868.79999999999</v>
      </c>
      <c r="L25" s="186">
        <f>+VLOOKUP($E25,[1]tb!$B$12:$AC$193,16,0)</f>
        <v>150868.79999999999</v>
      </c>
      <c r="M25" s="186">
        <f>+VLOOKUP($E25,[1]tb!$B$12:$AC$193,18,0)</f>
        <v>150868.79999999999</v>
      </c>
      <c r="N25" s="186">
        <f>+VLOOKUP($E25,[1]tb!$B$12:$AC$193,20,0)</f>
        <v>150868.79999999999</v>
      </c>
      <c r="O25" s="186">
        <f>+VLOOKUP($E25,[1]tb!$B$12:$AC$193,22,0)</f>
        <v>150868.79999999999</v>
      </c>
      <c r="P25" s="186">
        <f>+VLOOKUP($E25,[1]tb!$B$12:$AC$193,24,0)</f>
        <v>150868.79999999999</v>
      </c>
      <c r="Q25" s="186">
        <f>+VLOOKUP($E25,[1]tb!$B$12:$AC$193,26,0)</f>
        <v>150868.79999999999</v>
      </c>
      <c r="R25" s="186"/>
    </row>
    <row r="26" spans="3:18">
      <c r="D26" s="204" t="s">
        <v>246</v>
      </c>
      <c r="E26" s="206" t="s">
        <v>24</v>
      </c>
      <c r="F26" s="186">
        <f>+VLOOKUP($E26,[1]tb!$B$12:$AC$193,4,0)</f>
        <v>5040</v>
      </c>
      <c r="G26" s="186">
        <f>+VLOOKUP($E26,[1]tb!$B$12:$AC$193,6,0)</f>
        <v>5040</v>
      </c>
      <c r="H26" s="186">
        <f>+VLOOKUP($E26,[1]tb!$B$12:$AC$193,8,0)</f>
        <v>21059.000000000058</v>
      </c>
      <c r="I26" s="186">
        <f>+VLOOKUP($E26,[1]tb!$B$12:$AC$193,10,0)</f>
        <v>21059.000000000058</v>
      </c>
      <c r="J26" s="186">
        <f>+VLOOKUP($E26,[1]tb!$B$12:$AC$193,12,0)</f>
        <v>21059.000000000058</v>
      </c>
      <c r="K26" s="186">
        <f>+VLOOKUP($E26,[1]tb!$B$12:$AC$193,14,0)</f>
        <v>21059.000000000058</v>
      </c>
      <c r="L26" s="186">
        <f>+VLOOKUP($E26,[1]tb!$B$12:$AC$193,16,0)</f>
        <v>21059.000000000058</v>
      </c>
      <c r="M26" s="186">
        <f>+VLOOKUP($E26,[1]tb!$B$12:$AC$193,18,0)</f>
        <v>21059.000000000058</v>
      </c>
      <c r="N26" s="186">
        <f>+VLOOKUP($E26,[1]tb!$B$12:$AC$193,20,0)</f>
        <v>21059.000000000058</v>
      </c>
      <c r="O26" s="186">
        <f>+VLOOKUP($E26,[1]tb!$B$12:$AC$193,22,0)</f>
        <v>21059.000000000058</v>
      </c>
      <c r="P26" s="186">
        <f>+VLOOKUP($E26,[1]tb!$B$12:$AC$193,24,0)</f>
        <v>21059.000000000058</v>
      </c>
      <c r="Q26" s="186">
        <f>+VLOOKUP($E26,[1]tb!$B$12:$AC$193,26,0)</f>
        <v>21059.000000000058</v>
      </c>
      <c r="R26" s="186">
        <v>16019</v>
      </c>
    </row>
    <row r="27" spans="3:18" hidden="1">
      <c r="D27" s="204" t="s">
        <v>248</v>
      </c>
      <c r="E27" s="206" t="s">
        <v>26</v>
      </c>
      <c r="F27" s="186">
        <f>+VLOOKUP($E27,[1]tb!$B$12:$AC$193,4,0)</f>
        <v>0</v>
      </c>
      <c r="G27" s="186">
        <f>+VLOOKUP($E27,[1]tb!$B$12:$AC$193,6,0)</f>
        <v>0</v>
      </c>
      <c r="H27" s="186">
        <f>+VLOOKUP($E27,[1]tb!$B$12:$AC$193,8,0)</f>
        <v>931</v>
      </c>
      <c r="I27" s="186">
        <f>+VLOOKUP($E27,[1]tb!$B$12:$AC$193,10,0)</f>
        <v>931</v>
      </c>
      <c r="J27" s="186">
        <f>+VLOOKUP($E27,[1]tb!$B$12:$AC$193,12,0)</f>
        <v>931</v>
      </c>
      <c r="K27" s="186">
        <f>+VLOOKUP($E27,[1]tb!$B$12:$AC$193,14,0)</f>
        <v>931</v>
      </c>
      <c r="L27" s="186">
        <f>+VLOOKUP($E27,[1]tb!$B$12:$AC$193,16,0)</f>
        <v>931</v>
      </c>
      <c r="M27" s="186">
        <f>+VLOOKUP($E27,[1]tb!$B$12:$AC$193,18,0)</f>
        <v>931</v>
      </c>
      <c r="N27" s="186">
        <f>+VLOOKUP($E27,[1]tb!$B$12:$AC$193,20,0)</f>
        <v>931</v>
      </c>
      <c r="O27" s="186">
        <f>+VLOOKUP($E27,[1]tb!$B$12:$AC$193,22,0)</f>
        <v>931</v>
      </c>
      <c r="P27" s="186">
        <f>+VLOOKUP($E27,[1]tb!$B$12:$AC$193,24,0)</f>
        <v>931</v>
      </c>
      <c r="Q27" s="186">
        <f>+VLOOKUP($E27,[1]tb!$B$12:$AC$193,26,0)</f>
        <v>931</v>
      </c>
      <c r="R27" s="186"/>
    </row>
    <row r="28" spans="3:18" ht="5.0999999999999996" customHeight="1"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3:18" hidden="1">
      <c r="C29" s="208" t="s">
        <v>709</v>
      </c>
      <c r="F29" s="209">
        <f>+SUM(F30:F34)</f>
        <v>1194194.52</v>
      </c>
      <c r="G29" s="209">
        <f>+SUM(G30:G34)</f>
        <v>1152548.51</v>
      </c>
      <c r="H29" s="209">
        <f t="shared" ref="H29:Q29" si="4">+SUM(H30:H34)</f>
        <v>1170832.3699999999</v>
      </c>
      <c r="I29" s="209">
        <f t="shared" si="4"/>
        <v>1170832.3699999999</v>
      </c>
      <c r="J29" s="209">
        <f t="shared" si="4"/>
        <v>1170832.3699999999</v>
      </c>
      <c r="K29" s="209">
        <f t="shared" si="4"/>
        <v>1170832.3699999999</v>
      </c>
      <c r="L29" s="209">
        <f t="shared" si="4"/>
        <v>1170832.3699999999</v>
      </c>
      <c r="M29" s="209">
        <f t="shared" si="4"/>
        <v>1170832.3699999999</v>
      </c>
      <c r="N29" s="209">
        <f t="shared" si="4"/>
        <v>1170832.3699999999</v>
      </c>
      <c r="O29" s="209">
        <f t="shared" si="4"/>
        <v>1170832.3699999999</v>
      </c>
      <c r="P29" s="209">
        <f t="shared" si="4"/>
        <v>1170832.3699999999</v>
      </c>
      <c r="Q29" s="209">
        <f t="shared" si="4"/>
        <v>1170832.3699999999</v>
      </c>
      <c r="R29" s="209"/>
    </row>
    <row r="30" spans="3:18" hidden="1">
      <c r="D30" s="204" t="s">
        <v>249</v>
      </c>
      <c r="E30" s="206" t="s">
        <v>27</v>
      </c>
      <c r="F30" s="186">
        <f>+VLOOKUP($E30,[1]tb!$B$12:$AC$193,4,0)</f>
        <v>730509.17999999993</v>
      </c>
      <c r="G30" s="186">
        <f>+VLOOKUP($E30,[1]tb!$B$12:$AC$193,6,0)</f>
        <v>705879.16999999993</v>
      </c>
      <c r="H30" s="186">
        <f>+VLOOKUP($E30,[1]tb!$B$12:$AC$193,8,0)</f>
        <v>734427.77999999991</v>
      </c>
      <c r="I30" s="186">
        <f>+VLOOKUP($E30,[1]tb!$B$12:$AC$193,10,0)</f>
        <v>734427.77999999991</v>
      </c>
      <c r="J30" s="186">
        <f>+VLOOKUP($E30,[1]tb!$B$12:$AC$193,12,0)</f>
        <v>734427.77999999991</v>
      </c>
      <c r="K30" s="186">
        <f>+VLOOKUP($E30,[1]tb!$B$12:$AC$193,14,0)</f>
        <v>734427.77999999991</v>
      </c>
      <c r="L30" s="186">
        <f>+VLOOKUP($E30,[1]tb!$B$12:$AC$193,16,0)</f>
        <v>734427.77999999991</v>
      </c>
      <c r="M30" s="186">
        <f>+VLOOKUP($E30,[1]tb!$B$12:$AC$193,18,0)</f>
        <v>734427.77999999991</v>
      </c>
      <c r="N30" s="186">
        <f>+VLOOKUP($E30,[1]tb!$B$12:$AC$193,20,0)</f>
        <v>734427.77999999991</v>
      </c>
      <c r="O30" s="186">
        <f>+VLOOKUP($E30,[1]tb!$B$12:$AC$193,22,0)</f>
        <v>734427.77999999991</v>
      </c>
      <c r="P30" s="186">
        <f>+VLOOKUP($E30,[1]tb!$B$12:$AC$193,24,0)</f>
        <v>734427.77999999991</v>
      </c>
      <c r="Q30" s="186">
        <f>+VLOOKUP($E30,[1]tb!$B$12:$AC$193,26,0)</f>
        <v>734427.77999999991</v>
      </c>
      <c r="R30" s="186"/>
    </row>
    <row r="31" spans="3:18" hidden="1">
      <c r="D31" s="204" t="s">
        <v>250</v>
      </c>
      <c r="E31" s="206" t="s">
        <v>28</v>
      </c>
      <c r="F31" s="186">
        <f>+VLOOKUP($E31,[1]tb!$B$12:$AC$193,4,0)</f>
        <v>185942</v>
      </c>
      <c r="G31" s="186">
        <f>+VLOOKUP($E31,[1]tb!$B$12:$AC$193,6,0)</f>
        <v>170364</v>
      </c>
      <c r="H31" s="186">
        <f>+VLOOKUP($E31,[1]tb!$B$12:$AC$193,8,0)</f>
        <v>154098</v>
      </c>
      <c r="I31" s="186">
        <f>+VLOOKUP($E31,[1]tb!$B$12:$AC$193,10,0)</f>
        <v>154098</v>
      </c>
      <c r="J31" s="186">
        <f>+VLOOKUP($E31,[1]tb!$B$12:$AC$193,12,0)</f>
        <v>154098</v>
      </c>
      <c r="K31" s="186">
        <f>+VLOOKUP($E31,[1]tb!$B$12:$AC$193,14,0)</f>
        <v>154098</v>
      </c>
      <c r="L31" s="186">
        <f>+VLOOKUP($E31,[1]tb!$B$12:$AC$193,16,0)</f>
        <v>154098</v>
      </c>
      <c r="M31" s="186">
        <f>+VLOOKUP($E31,[1]tb!$B$12:$AC$193,18,0)</f>
        <v>154098</v>
      </c>
      <c r="N31" s="186">
        <f>+VLOOKUP($E31,[1]tb!$B$12:$AC$193,20,0)</f>
        <v>154098</v>
      </c>
      <c r="O31" s="186">
        <f>+VLOOKUP($E31,[1]tb!$B$12:$AC$193,22,0)</f>
        <v>154098</v>
      </c>
      <c r="P31" s="186">
        <f>+VLOOKUP($E31,[1]tb!$B$12:$AC$193,24,0)</f>
        <v>154098</v>
      </c>
      <c r="Q31" s="186">
        <f>+VLOOKUP($E31,[1]tb!$B$12:$AC$193,26,0)</f>
        <v>154098</v>
      </c>
      <c r="R31" s="186"/>
    </row>
    <row r="32" spans="3:18" hidden="1">
      <c r="D32" s="204" t="s">
        <v>251</v>
      </c>
      <c r="E32" s="206" t="s">
        <v>29</v>
      </c>
      <c r="F32" s="186">
        <f>+VLOOKUP($E32,[1]tb!$B$12:$AC$193,4,0)</f>
        <v>53600</v>
      </c>
      <c r="G32" s="186">
        <f>+VLOOKUP($E32,[1]tb!$B$12:$AC$193,6,0)</f>
        <v>53600</v>
      </c>
      <c r="H32" s="186">
        <f>+VLOOKUP($E32,[1]tb!$B$12:$AC$193,8,0)</f>
        <v>60500</v>
      </c>
      <c r="I32" s="186">
        <f>+VLOOKUP($E32,[1]tb!$B$12:$AC$193,10,0)</f>
        <v>60500</v>
      </c>
      <c r="J32" s="186">
        <f>+VLOOKUP($E32,[1]tb!$B$12:$AC$193,12,0)</f>
        <v>60500</v>
      </c>
      <c r="K32" s="186">
        <f>+VLOOKUP($E32,[1]tb!$B$12:$AC$193,14,0)</f>
        <v>60500</v>
      </c>
      <c r="L32" s="186">
        <f>+VLOOKUP($E32,[1]tb!$B$12:$AC$193,16,0)</f>
        <v>60500</v>
      </c>
      <c r="M32" s="186">
        <f>+VLOOKUP($E32,[1]tb!$B$12:$AC$193,18,0)</f>
        <v>60500</v>
      </c>
      <c r="N32" s="186">
        <f>+VLOOKUP($E32,[1]tb!$B$12:$AC$193,20,0)</f>
        <v>60500</v>
      </c>
      <c r="O32" s="186">
        <f>+VLOOKUP($E32,[1]tb!$B$12:$AC$193,22,0)</f>
        <v>60500</v>
      </c>
      <c r="P32" s="186">
        <f>+VLOOKUP($E32,[1]tb!$B$12:$AC$193,24,0)</f>
        <v>60500</v>
      </c>
      <c r="Q32" s="186">
        <f>+VLOOKUP($E32,[1]tb!$B$12:$AC$193,26,0)</f>
        <v>60500</v>
      </c>
      <c r="R32" s="186"/>
    </row>
    <row r="33" spans="3:18" hidden="1">
      <c r="D33" s="204" t="s">
        <v>253</v>
      </c>
      <c r="E33" s="206" t="s">
        <v>31</v>
      </c>
      <c r="F33" s="186">
        <f>+VLOOKUP($E33,[1]tb!$B$12:$AC$193,4,0)</f>
        <v>224143.34000000003</v>
      </c>
      <c r="G33" s="186">
        <f>+VLOOKUP($E33,[1]tb!$B$12:$AC$193,6,0)</f>
        <v>222705.34000000003</v>
      </c>
      <c r="H33" s="186">
        <f>+VLOOKUP($E33,[1]tb!$B$12:$AC$193,8,0)</f>
        <v>221806.59000000003</v>
      </c>
      <c r="I33" s="186">
        <f>+VLOOKUP($E33,[1]tb!$B$12:$AC$193,10,0)</f>
        <v>221806.59000000003</v>
      </c>
      <c r="J33" s="186">
        <f>+VLOOKUP($E33,[1]tb!$B$12:$AC$193,12,0)</f>
        <v>221806.59000000003</v>
      </c>
      <c r="K33" s="186">
        <f>+VLOOKUP($E33,[1]tb!$B$12:$AC$193,14,0)</f>
        <v>221806.59000000003</v>
      </c>
      <c r="L33" s="186">
        <f>+VLOOKUP($E33,[1]tb!$B$12:$AC$193,16,0)</f>
        <v>221806.59000000003</v>
      </c>
      <c r="M33" s="186">
        <f>+VLOOKUP($E33,[1]tb!$B$12:$AC$193,18,0)</f>
        <v>221806.59000000003</v>
      </c>
      <c r="N33" s="186">
        <f>+VLOOKUP($E33,[1]tb!$B$12:$AC$193,20,0)</f>
        <v>221806.59000000003</v>
      </c>
      <c r="O33" s="186">
        <f>+VLOOKUP($E33,[1]tb!$B$12:$AC$193,22,0)</f>
        <v>221806.59000000003</v>
      </c>
      <c r="P33" s="186">
        <f>+VLOOKUP($E33,[1]tb!$B$12:$AC$193,24,0)</f>
        <v>221806.59000000003</v>
      </c>
      <c r="Q33" s="186">
        <f>+VLOOKUP($E33,[1]tb!$B$12:$AC$193,26,0)</f>
        <v>221806.59000000003</v>
      </c>
      <c r="R33" s="186"/>
    </row>
    <row r="34" spans="3:18" ht="5.0999999999999996" hidden="1" customHeight="1">
      <c r="F34" s="186"/>
      <c r="G34" s="186"/>
      <c r="H34" s="186"/>
      <c r="I34" s="186"/>
      <c r="J34" s="186"/>
      <c r="K34" s="186"/>
      <c r="L34" s="186"/>
      <c r="M34" s="186"/>
      <c r="N34" s="186"/>
      <c r="O34" s="186"/>
      <c r="P34" s="186"/>
      <c r="Q34" s="186"/>
      <c r="R34" s="186"/>
    </row>
    <row r="35" spans="3:18" hidden="1">
      <c r="C35" s="208" t="s">
        <v>710</v>
      </c>
      <c r="F35" s="209">
        <f>+SUM(F36:F47)</f>
        <v>181583.57</v>
      </c>
      <c r="G35" s="209">
        <f>+SUM(G36:G47)</f>
        <v>230853.88</v>
      </c>
      <c r="H35" s="209">
        <f t="shared" ref="H35:Q35" si="5">+SUM(H36:H47)</f>
        <v>437207.32</v>
      </c>
      <c r="I35" s="209">
        <f t="shared" si="5"/>
        <v>437207.32</v>
      </c>
      <c r="J35" s="209">
        <f t="shared" si="5"/>
        <v>437207.32</v>
      </c>
      <c r="K35" s="209">
        <f t="shared" si="5"/>
        <v>437207.32</v>
      </c>
      <c r="L35" s="209">
        <f t="shared" si="5"/>
        <v>437207.32</v>
      </c>
      <c r="M35" s="209">
        <f t="shared" si="5"/>
        <v>437207.32</v>
      </c>
      <c r="N35" s="209">
        <f t="shared" si="5"/>
        <v>437207.32</v>
      </c>
      <c r="O35" s="209">
        <f t="shared" si="5"/>
        <v>437207.32</v>
      </c>
      <c r="P35" s="209">
        <f t="shared" si="5"/>
        <v>437207.32</v>
      </c>
      <c r="Q35" s="209">
        <f t="shared" si="5"/>
        <v>437207.32</v>
      </c>
      <c r="R35" s="209"/>
    </row>
    <row r="36" spans="3:18" hidden="1">
      <c r="D36" s="204" t="s">
        <v>298</v>
      </c>
      <c r="E36" s="206" t="s">
        <v>76</v>
      </c>
      <c r="F36" s="186">
        <f>+VLOOKUP($E36,[1]tb!$B$12:$AC$193,4,0)</f>
        <v>0</v>
      </c>
      <c r="G36" s="186">
        <f>+VLOOKUP($E36,[1]tb!$B$12:$AC$193,6,0)</f>
        <v>0</v>
      </c>
      <c r="H36" s="186">
        <f>+VLOOKUP($E36,[1]tb!$B$12:$AC$193,8,0)</f>
        <v>0</v>
      </c>
      <c r="I36" s="186">
        <f>+VLOOKUP($E36,[1]tb!$B$12:$AC$193,10,0)</f>
        <v>0</v>
      </c>
      <c r="J36" s="186">
        <f>+VLOOKUP($E36,[1]tb!$B$12:$AC$193,12,0)</f>
        <v>0</v>
      </c>
      <c r="K36" s="186">
        <f>+VLOOKUP($E36,[1]tb!$B$12:$AC$193,14,0)</f>
        <v>0</v>
      </c>
      <c r="L36" s="186">
        <f>+VLOOKUP($E36,[1]tb!$B$12:$AC$193,16,0)</f>
        <v>0</v>
      </c>
      <c r="M36" s="186">
        <f>+VLOOKUP($E36,[1]tb!$B$12:$AC$193,18,0)</f>
        <v>0</v>
      </c>
      <c r="N36" s="186">
        <f>+VLOOKUP($E36,[1]tb!$B$12:$AC$193,20,0)</f>
        <v>0</v>
      </c>
      <c r="O36" s="186">
        <f>+VLOOKUP($E36,[1]tb!$B$12:$AC$193,22,0)</f>
        <v>0</v>
      </c>
      <c r="P36" s="186">
        <f>+VLOOKUP($E36,[1]tb!$B$12:$AC$193,24,0)</f>
        <v>0</v>
      </c>
      <c r="Q36" s="186">
        <f>+VLOOKUP($E36,[1]tb!$B$12:$AC$193,26,0)</f>
        <v>0</v>
      </c>
      <c r="R36" s="186">
        <f t="shared" si="3"/>
        <v>0</v>
      </c>
    </row>
    <row r="37" spans="3:18" hidden="1">
      <c r="D37" s="204" t="s">
        <v>299</v>
      </c>
      <c r="E37" s="206" t="s">
        <v>77</v>
      </c>
      <c r="F37" s="186">
        <f>+VLOOKUP($E37,[1]tb!$B$12:$AC$193,4,0)</f>
        <v>72319</v>
      </c>
      <c r="G37" s="186">
        <f>+VLOOKUP($E37,[1]tb!$B$12:$AC$193,6,0)</f>
        <v>93519</v>
      </c>
      <c r="H37" s="186">
        <f>+VLOOKUP($E37,[1]tb!$B$12:$AC$193,8,0)</f>
        <v>198283.99</v>
      </c>
      <c r="I37" s="186">
        <f>+VLOOKUP($E37,[1]tb!$B$12:$AC$193,10,0)</f>
        <v>198283.99</v>
      </c>
      <c r="J37" s="186">
        <f>+VLOOKUP($E37,[1]tb!$B$12:$AC$193,12,0)</f>
        <v>198283.99</v>
      </c>
      <c r="K37" s="186">
        <f>+VLOOKUP($E37,[1]tb!$B$12:$AC$193,14,0)</f>
        <v>198283.99</v>
      </c>
      <c r="L37" s="186">
        <f>+VLOOKUP($E37,[1]tb!$B$12:$AC$193,16,0)</f>
        <v>198283.99</v>
      </c>
      <c r="M37" s="186">
        <f>+VLOOKUP($E37,[1]tb!$B$12:$AC$193,18,0)</f>
        <v>198283.99</v>
      </c>
      <c r="N37" s="186">
        <f>+VLOOKUP($E37,[1]tb!$B$12:$AC$193,20,0)</f>
        <v>198283.99</v>
      </c>
      <c r="O37" s="186">
        <f>+VLOOKUP($E37,[1]tb!$B$12:$AC$193,22,0)</f>
        <v>198283.99</v>
      </c>
      <c r="P37" s="186">
        <f>+VLOOKUP($E37,[1]tb!$B$12:$AC$193,24,0)</f>
        <v>198283.99</v>
      </c>
      <c r="Q37" s="186">
        <f>+VLOOKUP($E37,[1]tb!$B$12:$AC$193,26,0)</f>
        <v>198283.99</v>
      </c>
      <c r="R37" s="186"/>
    </row>
    <row r="38" spans="3:18" hidden="1">
      <c r="D38" s="204" t="s">
        <v>300</v>
      </c>
      <c r="E38" s="206" t="s">
        <v>78</v>
      </c>
      <c r="F38" s="186">
        <f>+VLOOKUP($E38,[1]tb!$B$12:$AC$193,4,0)</f>
        <v>14940</v>
      </c>
      <c r="G38" s="186">
        <f>+VLOOKUP($E38,[1]tb!$B$12:$AC$193,6,0)</f>
        <v>45262</v>
      </c>
      <c r="H38" s="186">
        <f>+VLOOKUP($E38,[1]tb!$B$12:$AC$193,8,0)</f>
        <v>151564</v>
      </c>
      <c r="I38" s="186">
        <f>+VLOOKUP($E38,[1]tb!$B$12:$AC$193,10,0)</f>
        <v>151564</v>
      </c>
      <c r="J38" s="186">
        <f>+VLOOKUP($E38,[1]tb!$B$12:$AC$193,12,0)</f>
        <v>151564</v>
      </c>
      <c r="K38" s="186">
        <f>+VLOOKUP($E38,[1]tb!$B$12:$AC$193,14,0)</f>
        <v>151564</v>
      </c>
      <c r="L38" s="186">
        <f>+VLOOKUP($E38,[1]tb!$B$12:$AC$193,16,0)</f>
        <v>151564</v>
      </c>
      <c r="M38" s="186">
        <f>+VLOOKUP($E38,[1]tb!$B$12:$AC$193,18,0)</f>
        <v>151564</v>
      </c>
      <c r="N38" s="186">
        <f>+VLOOKUP($E38,[1]tb!$B$12:$AC$193,20,0)</f>
        <v>151564</v>
      </c>
      <c r="O38" s="186">
        <f>+VLOOKUP($E38,[1]tb!$B$12:$AC$193,22,0)</f>
        <v>151564</v>
      </c>
      <c r="P38" s="186">
        <f>+VLOOKUP($E38,[1]tb!$B$12:$AC$193,24,0)</f>
        <v>151564</v>
      </c>
      <c r="Q38" s="186">
        <f>+VLOOKUP($E38,[1]tb!$B$12:$AC$193,26,0)</f>
        <v>151564</v>
      </c>
      <c r="R38" s="186"/>
    </row>
    <row r="39" spans="3:18" hidden="1">
      <c r="D39" s="204" t="s">
        <v>301</v>
      </c>
      <c r="E39" s="206" t="s">
        <v>79</v>
      </c>
      <c r="F39" s="186">
        <f>+VLOOKUP($E39,[1]tb!$B$12:$AC$193,4,0)</f>
        <v>22453.759999999995</v>
      </c>
      <c r="G39" s="186">
        <f>+VLOOKUP($E39,[1]tb!$B$12:$AC$193,6,0)</f>
        <v>22453.759999999995</v>
      </c>
      <c r="H39" s="186">
        <f>+VLOOKUP($E39,[1]tb!$B$12:$AC$193,8,0)</f>
        <v>22453.759999999995</v>
      </c>
      <c r="I39" s="186">
        <f>+VLOOKUP($E39,[1]tb!$B$12:$AC$193,10,0)</f>
        <v>22453.759999999995</v>
      </c>
      <c r="J39" s="186">
        <f>+VLOOKUP($E39,[1]tb!$B$12:$AC$193,12,0)</f>
        <v>22453.759999999995</v>
      </c>
      <c r="K39" s="186">
        <f>+VLOOKUP($E39,[1]tb!$B$12:$AC$193,14,0)</f>
        <v>22453.759999999995</v>
      </c>
      <c r="L39" s="186">
        <f>+VLOOKUP($E39,[1]tb!$B$12:$AC$193,16,0)</f>
        <v>22453.759999999995</v>
      </c>
      <c r="M39" s="186">
        <f>+VLOOKUP($E39,[1]tb!$B$12:$AC$193,18,0)</f>
        <v>22453.759999999995</v>
      </c>
      <c r="N39" s="186">
        <f>+VLOOKUP($E39,[1]tb!$B$12:$AC$193,20,0)</f>
        <v>22453.759999999995</v>
      </c>
      <c r="O39" s="186">
        <f>+VLOOKUP($E39,[1]tb!$B$12:$AC$193,22,0)</f>
        <v>22453.759999999995</v>
      </c>
      <c r="P39" s="186">
        <f>+VLOOKUP($E39,[1]tb!$B$12:$AC$193,24,0)</f>
        <v>22453.759999999995</v>
      </c>
      <c r="Q39" s="186">
        <f>+VLOOKUP($E39,[1]tb!$B$12:$AC$193,26,0)</f>
        <v>22453.759999999995</v>
      </c>
      <c r="R39" s="186"/>
    </row>
    <row r="40" spans="3:18" hidden="1">
      <c r="D40" s="204" t="s">
        <v>302</v>
      </c>
      <c r="E40" s="206" t="s">
        <v>80</v>
      </c>
      <c r="F40" s="186">
        <f>+VLOOKUP($E40,[1]tb!$B$12:$AC$193,4,0)</f>
        <v>0</v>
      </c>
      <c r="G40" s="186">
        <f>+VLOOKUP($E40,[1]tb!$B$12:$AC$193,6,0)</f>
        <v>0</v>
      </c>
      <c r="H40" s="186">
        <f>+VLOOKUP($E40,[1]tb!$B$12:$AC$193,8,0)</f>
        <v>0</v>
      </c>
      <c r="I40" s="186">
        <f>+VLOOKUP($E40,[1]tb!$B$12:$AC$193,10,0)</f>
        <v>0</v>
      </c>
      <c r="J40" s="186">
        <f>+VLOOKUP($E40,[1]tb!$B$12:$AC$193,12,0)</f>
        <v>0</v>
      </c>
      <c r="K40" s="186">
        <f>+VLOOKUP($E40,[1]tb!$B$12:$AC$193,14,0)</f>
        <v>0</v>
      </c>
      <c r="L40" s="186">
        <f>+VLOOKUP($E40,[1]tb!$B$12:$AC$193,16,0)</f>
        <v>0</v>
      </c>
      <c r="M40" s="186">
        <f>+VLOOKUP($E40,[1]tb!$B$12:$AC$193,18,0)</f>
        <v>0</v>
      </c>
      <c r="N40" s="186">
        <f>+VLOOKUP($E40,[1]tb!$B$12:$AC$193,20,0)</f>
        <v>0</v>
      </c>
      <c r="O40" s="186">
        <f>+VLOOKUP($E40,[1]tb!$B$12:$AC$193,22,0)</f>
        <v>0</v>
      </c>
      <c r="P40" s="186">
        <f>+VLOOKUP($E40,[1]tb!$B$12:$AC$193,24,0)</f>
        <v>0</v>
      </c>
      <c r="Q40" s="186">
        <f>+VLOOKUP($E40,[1]tb!$B$12:$AC$193,26,0)</f>
        <v>0</v>
      </c>
      <c r="R40" s="186"/>
    </row>
    <row r="41" spans="3:18" hidden="1">
      <c r="D41" s="204" t="s">
        <v>303</v>
      </c>
      <c r="E41" s="206" t="s">
        <v>81</v>
      </c>
      <c r="F41" s="186">
        <f>+VLOOKUP($E41,[1]tb!$B$12:$AC$193,4,0)</f>
        <v>0</v>
      </c>
      <c r="G41" s="186">
        <f>+VLOOKUP($E41,[1]tb!$B$12:$AC$193,6,0)</f>
        <v>0</v>
      </c>
      <c r="H41" s="186">
        <f>+VLOOKUP($E41,[1]tb!$B$12:$AC$193,8,0)</f>
        <v>0</v>
      </c>
      <c r="I41" s="186">
        <f>+VLOOKUP($E41,[1]tb!$B$12:$AC$193,10,0)</f>
        <v>0</v>
      </c>
      <c r="J41" s="186">
        <f>+VLOOKUP($E41,[1]tb!$B$12:$AC$193,12,0)</f>
        <v>0</v>
      </c>
      <c r="K41" s="186">
        <f>+VLOOKUP($E41,[1]tb!$B$12:$AC$193,14,0)</f>
        <v>0</v>
      </c>
      <c r="L41" s="186">
        <f>+VLOOKUP($E41,[1]tb!$B$12:$AC$193,16,0)</f>
        <v>0</v>
      </c>
      <c r="M41" s="186">
        <f>+VLOOKUP($E41,[1]tb!$B$12:$AC$193,18,0)</f>
        <v>0</v>
      </c>
      <c r="N41" s="186">
        <f>+VLOOKUP($E41,[1]tb!$B$12:$AC$193,20,0)</f>
        <v>0</v>
      </c>
      <c r="O41" s="186">
        <f>+VLOOKUP($E41,[1]tb!$B$12:$AC$193,22,0)</f>
        <v>0</v>
      </c>
      <c r="P41" s="186">
        <f>+VLOOKUP($E41,[1]tb!$B$12:$AC$193,24,0)</f>
        <v>0</v>
      </c>
      <c r="Q41" s="186">
        <f>+VLOOKUP($E41,[1]tb!$B$12:$AC$193,26,0)</f>
        <v>0</v>
      </c>
      <c r="R41" s="186"/>
    </row>
    <row r="42" spans="3:18" hidden="1">
      <c r="D42" s="204" t="s">
        <v>304</v>
      </c>
      <c r="E42" s="206" t="s">
        <v>82</v>
      </c>
      <c r="F42" s="186">
        <f>+VLOOKUP($E42,[1]tb!$B$12:$AC$193,4,0)</f>
        <v>32154.300000000003</v>
      </c>
      <c r="G42" s="186">
        <f>+VLOOKUP($E42,[1]tb!$B$12:$AC$193,6,0)</f>
        <v>24423.860000000004</v>
      </c>
      <c r="H42" s="186">
        <f>+VLOOKUP($E42,[1]tb!$B$12:$AC$193,8,0)</f>
        <v>16335.310000000005</v>
      </c>
      <c r="I42" s="186">
        <f>+VLOOKUP($E42,[1]tb!$B$12:$AC$193,10,0)</f>
        <v>16335.310000000005</v>
      </c>
      <c r="J42" s="186">
        <f>+VLOOKUP($E42,[1]tb!$B$12:$AC$193,12,0)</f>
        <v>16335.310000000005</v>
      </c>
      <c r="K42" s="186">
        <f>+VLOOKUP($E42,[1]tb!$B$12:$AC$193,14,0)</f>
        <v>16335.310000000005</v>
      </c>
      <c r="L42" s="186">
        <f>+VLOOKUP($E42,[1]tb!$B$12:$AC$193,16,0)</f>
        <v>16335.310000000005</v>
      </c>
      <c r="M42" s="186">
        <f>+VLOOKUP($E42,[1]tb!$B$12:$AC$193,18,0)</f>
        <v>16335.310000000005</v>
      </c>
      <c r="N42" s="186">
        <f>+VLOOKUP($E42,[1]tb!$B$12:$AC$193,20,0)</f>
        <v>16335.310000000005</v>
      </c>
      <c r="O42" s="186">
        <f>+VLOOKUP($E42,[1]tb!$B$12:$AC$193,22,0)</f>
        <v>16335.310000000005</v>
      </c>
      <c r="P42" s="186">
        <f>+VLOOKUP($E42,[1]tb!$B$12:$AC$193,24,0)</f>
        <v>16335.310000000005</v>
      </c>
      <c r="Q42" s="186">
        <f>+VLOOKUP($E42,[1]tb!$B$12:$AC$193,26,0)</f>
        <v>16335.310000000005</v>
      </c>
      <c r="R42" s="186"/>
    </row>
    <row r="43" spans="3:18" hidden="1">
      <c r="D43" s="204" t="s">
        <v>305</v>
      </c>
      <c r="E43" s="206" t="s">
        <v>83</v>
      </c>
      <c r="F43" s="186">
        <f>+VLOOKUP($E43,[1]tb!$B$12:$AC$193,4,0)</f>
        <v>5253.75</v>
      </c>
      <c r="G43" s="186">
        <f>+VLOOKUP($E43,[1]tb!$B$12:$AC$193,6,0)</f>
        <v>10732.5</v>
      </c>
      <c r="H43" s="186">
        <f>+VLOOKUP($E43,[1]tb!$B$12:$AC$193,8,0)</f>
        <v>14107.5</v>
      </c>
      <c r="I43" s="186">
        <f>+VLOOKUP($E43,[1]tb!$B$12:$AC$193,10,0)</f>
        <v>14107.5</v>
      </c>
      <c r="J43" s="186">
        <f>+VLOOKUP($E43,[1]tb!$B$12:$AC$193,12,0)</f>
        <v>14107.5</v>
      </c>
      <c r="K43" s="186">
        <f>+VLOOKUP($E43,[1]tb!$B$12:$AC$193,14,0)</f>
        <v>14107.5</v>
      </c>
      <c r="L43" s="186">
        <f>+VLOOKUP($E43,[1]tb!$B$12:$AC$193,16,0)</f>
        <v>14107.5</v>
      </c>
      <c r="M43" s="186">
        <f>+VLOOKUP($E43,[1]tb!$B$12:$AC$193,18,0)</f>
        <v>14107.5</v>
      </c>
      <c r="N43" s="186">
        <f>+VLOOKUP($E43,[1]tb!$B$12:$AC$193,20,0)</f>
        <v>14107.5</v>
      </c>
      <c r="O43" s="186">
        <f>+VLOOKUP($E43,[1]tb!$B$12:$AC$193,22,0)</f>
        <v>14107.5</v>
      </c>
      <c r="P43" s="186">
        <f>+VLOOKUP($E43,[1]tb!$B$12:$AC$193,24,0)</f>
        <v>14107.5</v>
      </c>
      <c r="Q43" s="186">
        <f>+VLOOKUP($E43,[1]tb!$B$12:$AC$193,26,0)</f>
        <v>14107.5</v>
      </c>
      <c r="R43" s="186"/>
    </row>
    <row r="44" spans="3:18" hidden="1">
      <c r="D44" s="204" t="s">
        <v>306</v>
      </c>
      <c r="E44" s="206" t="s">
        <v>84</v>
      </c>
      <c r="F44" s="186">
        <f>+VLOOKUP($E44,[1]tb!$B$12:$AC$193,4,0)</f>
        <v>11510.65</v>
      </c>
      <c r="G44" s="186">
        <f>+VLOOKUP($E44,[1]tb!$B$12:$AC$193,6,0)</f>
        <v>11510.65</v>
      </c>
      <c r="H44" s="186">
        <f>+VLOOKUP($E44,[1]tb!$B$12:$AC$193,8,0)</f>
        <v>11510.65</v>
      </c>
      <c r="I44" s="186">
        <f>+VLOOKUP($E44,[1]tb!$B$12:$AC$193,10,0)</f>
        <v>11510.65</v>
      </c>
      <c r="J44" s="186">
        <f>+VLOOKUP($E44,[1]tb!$B$12:$AC$193,12,0)</f>
        <v>11510.65</v>
      </c>
      <c r="K44" s="186">
        <f>+VLOOKUP($E44,[1]tb!$B$12:$AC$193,14,0)</f>
        <v>11510.65</v>
      </c>
      <c r="L44" s="186">
        <f>+VLOOKUP($E44,[1]tb!$B$12:$AC$193,16,0)</f>
        <v>11510.65</v>
      </c>
      <c r="M44" s="186">
        <f>+VLOOKUP($E44,[1]tb!$B$12:$AC$193,18,0)</f>
        <v>11510.65</v>
      </c>
      <c r="N44" s="186">
        <f>+VLOOKUP($E44,[1]tb!$B$12:$AC$193,20,0)</f>
        <v>11510.65</v>
      </c>
      <c r="O44" s="186">
        <f>+VLOOKUP($E44,[1]tb!$B$12:$AC$193,22,0)</f>
        <v>11510.65</v>
      </c>
      <c r="P44" s="186">
        <f>+VLOOKUP($E44,[1]tb!$B$12:$AC$193,24,0)</f>
        <v>11510.65</v>
      </c>
      <c r="Q44" s="186">
        <f>+VLOOKUP($E44,[1]tb!$B$12:$AC$193,26,0)</f>
        <v>11510.65</v>
      </c>
      <c r="R44" s="186"/>
    </row>
    <row r="45" spans="3:18" hidden="1">
      <c r="D45" s="204" t="s">
        <v>307</v>
      </c>
      <c r="E45" s="206" t="s">
        <v>85</v>
      </c>
      <c r="F45" s="186">
        <f>+VLOOKUP($E45,[1]tb!$B$12:$AC$193,4,0)</f>
        <v>5000</v>
      </c>
      <c r="G45" s="186">
        <f>+VLOOKUP($E45,[1]tb!$B$12:$AC$193,6,0)</f>
        <v>5000</v>
      </c>
      <c r="H45" s="186">
        <f>+VLOOKUP($E45,[1]tb!$B$12:$AC$193,8,0)</f>
        <v>5000</v>
      </c>
      <c r="I45" s="186">
        <f>+VLOOKUP($E45,[1]tb!$B$12:$AC$193,10,0)</f>
        <v>5000</v>
      </c>
      <c r="J45" s="186">
        <f>+VLOOKUP($E45,[1]tb!$B$12:$AC$193,12,0)</f>
        <v>5000</v>
      </c>
      <c r="K45" s="186">
        <f>+VLOOKUP($E45,[1]tb!$B$12:$AC$193,14,0)</f>
        <v>5000</v>
      </c>
      <c r="L45" s="186">
        <f>+VLOOKUP($E45,[1]tb!$B$12:$AC$193,16,0)</f>
        <v>5000</v>
      </c>
      <c r="M45" s="186">
        <f>+VLOOKUP($E45,[1]tb!$B$12:$AC$193,18,0)</f>
        <v>5000</v>
      </c>
      <c r="N45" s="186">
        <f>+VLOOKUP($E45,[1]tb!$B$12:$AC$193,20,0)</f>
        <v>5000</v>
      </c>
      <c r="O45" s="186">
        <f>+VLOOKUP($E45,[1]tb!$B$12:$AC$193,22,0)</f>
        <v>5000</v>
      </c>
      <c r="P45" s="186">
        <f>+VLOOKUP($E45,[1]tb!$B$12:$AC$193,24,0)</f>
        <v>5000</v>
      </c>
      <c r="Q45" s="186">
        <f>+VLOOKUP($E45,[1]tb!$B$12:$AC$193,26,0)</f>
        <v>5000</v>
      </c>
      <c r="R45" s="186"/>
    </row>
    <row r="46" spans="3:18" hidden="1">
      <c r="D46" s="204" t="s">
        <v>308</v>
      </c>
      <c r="E46" s="206" t="s">
        <v>86</v>
      </c>
      <c r="F46" s="186">
        <f>+VLOOKUP($E46,[1]tb!$B$12:$AC$193,4,0)</f>
        <v>17952.11</v>
      </c>
      <c r="G46" s="186">
        <f>+VLOOKUP($E46,[1]tb!$B$12:$AC$193,6,0)</f>
        <v>17952.11</v>
      </c>
      <c r="H46" s="186">
        <f>+VLOOKUP($E46,[1]tb!$B$12:$AC$193,8,0)</f>
        <v>17952.11</v>
      </c>
      <c r="I46" s="186">
        <f>+VLOOKUP($E46,[1]tb!$B$12:$AC$193,10,0)</f>
        <v>17952.11</v>
      </c>
      <c r="J46" s="186">
        <f>+VLOOKUP($E46,[1]tb!$B$12:$AC$193,12,0)</f>
        <v>17952.11</v>
      </c>
      <c r="K46" s="186">
        <f>+VLOOKUP($E46,[1]tb!$B$12:$AC$193,14,0)</f>
        <v>17952.11</v>
      </c>
      <c r="L46" s="186">
        <f>+VLOOKUP($E46,[1]tb!$B$12:$AC$193,16,0)</f>
        <v>17952.11</v>
      </c>
      <c r="M46" s="186">
        <f>+VLOOKUP($E46,[1]tb!$B$12:$AC$193,18,0)</f>
        <v>17952.11</v>
      </c>
      <c r="N46" s="186">
        <f>+VLOOKUP($E46,[1]tb!$B$12:$AC$193,20,0)</f>
        <v>17952.11</v>
      </c>
      <c r="O46" s="186">
        <f>+VLOOKUP($E46,[1]tb!$B$12:$AC$193,22,0)</f>
        <v>17952.11</v>
      </c>
      <c r="P46" s="186">
        <f>+VLOOKUP($E46,[1]tb!$B$12:$AC$193,24,0)</f>
        <v>17952.11</v>
      </c>
      <c r="Q46" s="186">
        <f>+VLOOKUP($E46,[1]tb!$B$12:$AC$193,26,0)</f>
        <v>17952.11</v>
      </c>
      <c r="R46" s="186"/>
    </row>
    <row r="47" spans="3:18" ht="5.0999999999999996" customHeight="1"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3:18">
      <c r="D48" s="210" t="s">
        <v>711</v>
      </c>
      <c r="F48" s="211">
        <f>+F35+F29+F23+F12</f>
        <v>2863589.8800000004</v>
      </c>
      <c r="G48" s="211">
        <f>+G35+G29+G23+G12</f>
        <v>3372136.9000000004</v>
      </c>
      <c r="H48" s="211">
        <f t="shared" ref="H48:Q48" si="6">+H35+H29+H23+H12</f>
        <v>3754963.3600000003</v>
      </c>
      <c r="I48" s="211">
        <f t="shared" si="6"/>
        <v>3754963.3600000003</v>
      </c>
      <c r="J48" s="211">
        <f t="shared" si="6"/>
        <v>3754963.3600000003</v>
      </c>
      <c r="K48" s="211">
        <f t="shared" si="6"/>
        <v>3754963.3600000003</v>
      </c>
      <c r="L48" s="211">
        <f t="shared" si="6"/>
        <v>3754963.3600000003</v>
      </c>
      <c r="M48" s="211">
        <f t="shared" si="6"/>
        <v>3754963.3600000003</v>
      </c>
      <c r="N48" s="211">
        <f t="shared" si="6"/>
        <v>3754963.3600000003</v>
      </c>
      <c r="O48" s="211">
        <f t="shared" si="6"/>
        <v>3754963.3600000003</v>
      </c>
      <c r="P48" s="211">
        <f t="shared" si="6"/>
        <v>3754963.3600000003</v>
      </c>
      <c r="Q48" s="211">
        <f t="shared" si="6"/>
        <v>3754963.3600000003</v>
      </c>
      <c r="R48" s="211">
        <f>R26</f>
        <v>16019</v>
      </c>
    </row>
    <row r="49" spans="2:18" ht="5.0999999999999996" customHeight="1"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</row>
    <row r="50" spans="2:18" hidden="1">
      <c r="B50" s="208" t="s">
        <v>712</v>
      </c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2:18" ht="5.0999999999999996" hidden="1" customHeight="1">
      <c r="B51" s="208"/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2:18" hidden="1">
      <c r="C52" s="208" t="s">
        <v>713</v>
      </c>
      <c r="F52" s="209">
        <f>+F53+F56+F57+F60+F63+F66+F69+F72+F75+F78+F81+F84+F85+F88</f>
        <v>27434880.300000004</v>
      </c>
      <c r="G52" s="209">
        <f>+G53+G56+G57+G60+G63+G66+G69+G72+G75+G78+G81+G84+G85+G88</f>
        <v>27251998.330000002</v>
      </c>
      <c r="H52" s="209">
        <f t="shared" ref="H52:Q52" si="7">+H53+H56+H57+H60+H63+H66+H69+H72+H75+H78+H81+H84+H85+H88</f>
        <v>27100426.740000002</v>
      </c>
      <c r="I52" s="209">
        <f t="shared" si="7"/>
        <v>27100426.740000002</v>
      </c>
      <c r="J52" s="209">
        <f t="shared" si="7"/>
        <v>27100426.740000002</v>
      </c>
      <c r="K52" s="209">
        <f t="shared" si="7"/>
        <v>27100426.740000002</v>
      </c>
      <c r="L52" s="209">
        <f t="shared" si="7"/>
        <v>27100426.740000002</v>
      </c>
      <c r="M52" s="209">
        <f t="shared" si="7"/>
        <v>27100426.740000002</v>
      </c>
      <c r="N52" s="209">
        <f t="shared" si="7"/>
        <v>27100426.740000002</v>
      </c>
      <c r="O52" s="209">
        <f t="shared" si="7"/>
        <v>27100426.740000002</v>
      </c>
      <c r="P52" s="209">
        <f t="shared" si="7"/>
        <v>27100426.740000002</v>
      </c>
      <c r="Q52" s="209">
        <f t="shared" si="7"/>
        <v>27100426.740000002</v>
      </c>
      <c r="R52" s="209"/>
    </row>
    <row r="53" spans="2:18" hidden="1">
      <c r="D53" s="204" t="s">
        <v>254</v>
      </c>
      <c r="E53" s="206" t="s">
        <v>32</v>
      </c>
      <c r="F53" s="212">
        <f>+VLOOKUP($E53,[1]tb!$B$12:$AC$193,4,0)</f>
        <v>551250</v>
      </c>
      <c r="G53" s="212">
        <f>+VLOOKUP($E53,[1]tb!$B$12:$AC$193,6,0)</f>
        <v>551250</v>
      </c>
      <c r="H53" s="212">
        <f>+VLOOKUP($E53,[1]tb!$B$12:$AC$193,8,0)</f>
        <v>551250</v>
      </c>
      <c r="I53" s="212">
        <f>+VLOOKUP($E53,[1]tb!$B$12:$AC$193,10,0)</f>
        <v>551250</v>
      </c>
      <c r="J53" s="212">
        <f>+VLOOKUP($E53,[1]tb!$B$12:$AC$193,12,0)</f>
        <v>551250</v>
      </c>
      <c r="K53" s="212">
        <f>+VLOOKUP($E53,[1]tb!$B$12:$AC$193,14,0)</f>
        <v>551250</v>
      </c>
      <c r="L53" s="212">
        <f>+VLOOKUP($E53,[1]tb!$B$12:$AC$193,16,0)</f>
        <v>551250</v>
      </c>
      <c r="M53" s="212">
        <f>+VLOOKUP($E53,[1]tb!$B$12:$AC$193,18,0)</f>
        <v>551250</v>
      </c>
      <c r="N53" s="212">
        <f>+VLOOKUP($E53,[1]tb!$B$12:$AC$193,20,0)</f>
        <v>551250</v>
      </c>
      <c r="O53" s="212">
        <f>+VLOOKUP($E53,[1]tb!$B$12:$AC$193,22,0)</f>
        <v>551250</v>
      </c>
      <c r="P53" s="212">
        <f>+VLOOKUP($E53,[1]tb!$B$12:$AC$193,24,0)</f>
        <v>551250</v>
      </c>
      <c r="Q53" s="212">
        <f>+VLOOKUP($E53,[1]tb!$B$12:$AC$193,26,0)</f>
        <v>551250</v>
      </c>
      <c r="R53" s="212"/>
    </row>
    <row r="54" spans="2:18" hidden="1">
      <c r="D54" s="204" t="s">
        <v>255</v>
      </c>
      <c r="E54" s="206" t="s">
        <v>33</v>
      </c>
      <c r="F54" s="186">
        <f>+VLOOKUP($E54,[1]tb!$B$12:$AC$193,4,0)</f>
        <v>525000</v>
      </c>
      <c r="G54" s="186">
        <f>+VLOOKUP($E54,[1]tb!$B$12:$AC$193,6,0)</f>
        <v>525000</v>
      </c>
      <c r="H54" s="186">
        <f>+VLOOKUP($E54,[1]tb!$B$12:$AC$193,8,0)</f>
        <v>525000</v>
      </c>
      <c r="I54" s="186">
        <f>+VLOOKUP($E54,[1]tb!$B$12:$AC$193,10,0)</f>
        <v>525000</v>
      </c>
      <c r="J54" s="186">
        <f>+VLOOKUP($E54,[1]tb!$B$12:$AC$193,12,0)</f>
        <v>525000</v>
      </c>
      <c r="K54" s="186">
        <f>+VLOOKUP($E54,[1]tb!$B$12:$AC$193,14,0)</f>
        <v>525000</v>
      </c>
      <c r="L54" s="186">
        <f>+VLOOKUP($E54,[1]tb!$B$12:$AC$193,16,0)</f>
        <v>525000</v>
      </c>
      <c r="M54" s="186">
        <f>+VLOOKUP($E54,[1]tb!$B$12:$AC$193,18,0)</f>
        <v>525000</v>
      </c>
      <c r="N54" s="186">
        <f>+VLOOKUP($E54,[1]tb!$B$12:$AC$193,20,0)</f>
        <v>525000</v>
      </c>
      <c r="O54" s="186">
        <f>+VLOOKUP($E54,[1]tb!$B$12:$AC$193,22,0)</f>
        <v>525000</v>
      </c>
      <c r="P54" s="186">
        <f>+VLOOKUP($E54,[1]tb!$B$12:$AC$193,24,0)</f>
        <v>525000</v>
      </c>
      <c r="Q54" s="186">
        <f>+VLOOKUP($E54,[1]tb!$B$12:$AC$193,26,0)</f>
        <v>525000</v>
      </c>
      <c r="R54" s="186"/>
    </row>
    <row r="55" spans="2:18" hidden="1">
      <c r="D55" s="204" t="s">
        <v>256</v>
      </c>
      <c r="E55" s="206" t="s">
        <v>34</v>
      </c>
      <c r="F55" s="186">
        <f>+VLOOKUP($E55,[1]tb!$B$12:$AC$193,5,0)</f>
        <v>468759.38</v>
      </c>
      <c r="G55" s="186">
        <f>+VLOOKUP($E55,[1]tb!$B$12:$AC$193,7,0)</f>
        <v>468956.25</v>
      </c>
      <c r="H55" s="186">
        <f>+VLOOKUP($E55,[1]tb!$B$12:$AC$193,9,0)</f>
        <v>469153.13</v>
      </c>
      <c r="I55" s="186">
        <f>+VLOOKUP($E55,[1]tb!$B$12:$AC$193,11,0)</f>
        <v>469153.13</v>
      </c>
      <c r="J55" s="186">
        <f>+VLOOKUP($E55,[1]tb!$B$12:$AC$193,13,0)</f>
        <v>469153.13</v>
      </c>
      <c r="K55" s="186">
        <f>+VLOOKUP($E55,[1]tb!$B$12:$AC$193,15,0)</f>
        <v>469153.13</v>
      </c>
      <c r="L55" s="186">
        <f>+VLOOKUP($E55,[1]tb!$B$12:$AC$193,17,0)</f>
        <v>469153.13</v>
      </c>
      <c r="M55" s="186">
        <f>+VLOOKUP($E55,[1]tb!$B$12:$AC$193,19,0)</f>
        <v>469153.13</v>
      </c>
      <c r="N55" s="186">
        <f>+VLOOKUP($E55,[1]tb!$B$12:$AC$193,21,0)</f>
        <v>469153.13</v>
      </c>
      <c r="O55" s="186">
        <f>+VLOOKUP($E55,[1]tb!$B$12:$AC$193,23,0)</f>
        <v>469153.13</v>
      </c>
      <c r="P55" s="186">
        <f>+VLOOKUP($E55,[1]tb!$B$12:$AC$193,25,0)</f>
        <v>469153.13</v>
      </c>
      <c r="Q55" s="186">
        <f>+VLOOKUP($E55,[1]tb!$B$12:$AC$193,27,0)</f>
        <v>469153.13</v>
      </c>
      <c r="R55" s="186"/>
    </row>
    <row r="56" spans="2:18" hidden="1">
      <c r="D56" s="204" t="s">
        <v>536</v>
      </c>
      <c r="F56" s="212">
        <f>+F54-F55</f>
        <v>56240.619999999995</v>
      </c>
      <c r="G56" s="212">
        <f>+G54-G55</f>
        <v>56043.75</v>
      </c>
      <c r="H56" s="212">
        <f t="shared" ref="H56:Q56" si="8">+H54-H55</f>
        <v>55846.869999999995</v>
      </c>
      <c r="I56" s="212">
        <f t="shared" si="8"/>
        <v>55846.869999999995</v>
      </c>
      <c r="J56" s="212">
        <f t="shared" si="8"/>
        <v>55846.869999999995</v>
      </c>
      <c r="K56" s="212">
        <f t="shared" si="8"/>
        <v>55846.869999999995</v>
      </c>
      <c r="L56" s="212">
        <f t="shared" si="8"/>
        <v>55846.869999999995</v>
      </c>
      <c r="M56" s="212">
        <f t="shared" si="8"/>
        <v>55846.869999999995</v>
      </c>
      <c r="N56" s="212">
        <f t="shared" si="8"/>
        <v>55846.869999999995</v>
      </c>
      <c r="O56" s="212">
        <f t="shared" si="8"/>
        <v>55846.869999999995</v>
      </c>
      <c r="P56" s="212">
        <f t="shared" si="8"/>
        <v>55846.869999999995</v>
      </c>
      <c r="Q56" s="212">
        <f t="shared" si="8"/>
        <v>55846.869999999995</v>
      </c>
      <c r="R56" s="212"/>
    </row>
    <row r="57" spans="2:18" hidden="1">
      <c r="D57" s="204" t="s">
        <v>257</v>
      </c>
      <c r="E57" s="206" t="s">
        <v>35</v>
      </c>
      <c r="F57" s="212">
        <f>+VLOOKUP($E57,[1]tb!$B$12:$AC$193,4,0)</f>
        <v>0</v>
      </c>
      <c r="G57" s="212">
        <f>+VLOOKUP($E57,[1]tb!$B$12:$AC$193,6,0)</f>
        <v>0</v>
      </c>
      <c r="H57" s="212">
        <f>+VLOOKUP($E57,[1]tb!$B$12:$AC$193,8,0)</f>
        <v>0</v>
      </c>
      <c r="I57" s="212">
        <f>+VLOOKUP($E57,[1]tb!$B$12:$AC$193,10,0)</f>
        <v>0</v>
      </c>
      <c r="J57" s="212">
        <f>+VLOOKUP($E57,[1]tb!$B$12:$AC$193,12,0)</f>
        <v>0</v>
      </c>
      <c r="K57" s="212">
        <f>+VLOOKUP($E57,[1]tb!$B$12:$AC$193,14,0)</f>
        <v>0</v>
      </c>
      <c r="L57" s="212">
        <f>+VLOOKUP($E57,[1]tb!$B$12:$AC$193,16,0)</f>
        <v>0</v>
      </c>
      <c r="M57" s="212">
        <f>+VLOOKUP($E57,[1]tb!$B$12:$AC$193,18,0)</f>
        <v>0</v>
      </c>
      <c r="N57" s="212">
        <f>+VLOOKUP($E57,[1]tb!$B$12:$AC$193,20,0)</f>
        <v>0</v>
      </c>
      <c r="O57" s="212">
        <f>+VLOOKUP($E57,[1]tb!$B$12:$AC$193,22,0)</f>
        <v>0</v>
      </c>
      <c r="P57" s="212">
        <f>+VLOOKUP($E57,[1]tb!$B$12:$AC$193,24,0)</f>
        <v>0</v>
      </c>
      <c r="Q57" s="212">
        <f>+VLOOKUP($E57,[1]tb!$B$12:$AC$193,26,0)</f>
        <v>0</v>
      </c>
      <c r="R57" s="212"/>
    </row>
    <row r="58" spans="2:18" hidden="1">
      <c r="D58" s="204" t="s">
        <v>258</v>
      </c>
      <c r="E58" s="206" t="s">
        <v>36</v>
      </c>
      <c r="F58" s="186">
        <f>+VLOOKUP($E58,[1]tb!$B$12:$AC$193,4,0)</f>
        <v>8564966.2699999996</v>
      </c>
      <c r="G58" s="186">
        <f>+VLOOKUP($E58,[1]tb!$B$12:$AC$193,6,0)</f>
        <v>8564966.2699999996</v>
      </c>
      <c r="H58" s="186">
        <f>+VLOOKUP($E58,[1]tb!$B$12:$AC$193,8,0)</f>
        <v>8564966.2699999996</v>
      </c>
      <c r="I58" s="186">
        <f>+VLOOKUP($E58,[1]tb!$B$12:$AC$193,10,0)</f>
        <v>8564966.2699999996</v>
      </c>
      <c r="J58" s="186">
        <f>+VLOOKUP($E58,[1]tb!$B$12:$AC$193,12,0)</f>
        <v>8564966.2699999996</v>
      </c>
      <c r="K58" s="186">
        <f>+VLOOKUP($E58,[1]tb!$B$12:$AC$193,14,0)</f>
        <v>8564966.2699999996</v>
      </c>
      <c r="L58" s="186">
        <f>+VLOOKUP($E58,[1]tb!$B$12:$AC$193,16,0)</f>
        <v>8564966.2699999996</v>
      </c>
      <c r="M58" s="186">
        <f>+VLOOKUP($E58,[1]tb!$B$12:$AC$193,18,0)</f>
        <v>8564966.2699999996</v>
      </c>
      <c r="N58" s="186">
        <f>+VLOOKUP($E58,[1]tb!$B$12:$AC$193,20,0)</f>
        <v>8564966.2699999996</v>
      </c>
      <c r="O58" s="186">
        <f>+VLOOKUP($E58,[1]tb!$B$12:$AC$193,22,0)</f>
        <v>8564966.2699999996</v>
      </c>
      <c r="P58" s="186">
        <f>+VLOOKUP($E58,[1]tb!$B$12:$AC$193,24,0)</f>
        <v>8564966.2699999996</v>
      </c>
      <c r="Q58" s="186">
        <f>+VLOOKUP($E58,[1]tb!$B$12:$AC$193,26,0)</f>
        <v>8564966.2699999996</v>
      </c>
      <c r="R58" s="186"/>
    </row>
    <row r="59" spans="2:18" hidden="1">
      <c r="D59" s="204" t="s">
        <v>259</v>
      </c>
      <c r="E59" s="206" t="s">
        <v>37</v>
      </c>
      <c r="F59" s="186">
        <f>+VLOOKUP($E59,[1]tb!$B$12:$AC$193,5,0)</f>
        <v>1875639.8599999999</v>
      </c>
      <c r="G59" s="186">
        <f>+VLOOKUP($E59,[1]tb!$B$12:$AC$193,7,0)</f>
        <v>1895952.2699999998</v>
      </c>
      <c r="H59" s="186">
        <f>+VLOOKUP($E59,[1]tb!$B$12:$AC$193,9,0)</f>
        <v>1916264.6899999997</v>
      </c>
      <c r="I59" s="186">
        <f>+VLOOKUP($E59,[1]tb!$B$12:$AC$193,11,0)</f>
        <v>1916264.6899999997</v>
      </c>
      <c r="J59" s="186">
        <f>+VLOOKUP($E59,[1]tb!$B$12:$AC$193,13,0)</f>
        <v>1916264.6899999997</v>
      </c>
      <c r="K59" s="186">
        <f>+VLOOKUP($E59,[1]tb!$B$12:$AC$193,15,0)</f>
        <v>1916264.6899999997</v>
      </c>
      <c r="L59" s="186">
        <f>+VLOOKUP($E59,[1]tb!$B$12:$AC$193,17,0)</f>
        <v>1916264.6899999997</v>
      </c>
      <c r="M59" s="186">
        <f>+VLOOKUP($E59,[1]tb!$B$12:$AC$193,19,0)</f>
        <v>1916264.6899999997</v>
      </c>
      <c r="N59" s="186">
        <f>+VLOOKUP($E59,[1]tb!$B$12:$AC$193,21,0)</f>
        <v>1916264.6899999997</v>
      </c>
      <c r="O59" s="186">
        <f>+VLOOKUP($E59,[1]tb!$B$12:$AC$193,23,0)</f>
        <v>1916264.6899999997</v>
      </c>
      <c r="P59" s="186">
        <f>+VLOOKUP($E59,[1]tb!$B$12:$AC$193,25,0)</f>
        <v>1916264.6899999997</v>
      </c>
      <c r="Q59" s="186">
        <f>+VLOOKUP($E59,[1]tb!$B$12:$AC$193,27,0)</f>
        <v>1916264.6899999997</v>
      </c>
      <c r="R59" s="186"/>
    </row>
    <row r="60" spans="2:18" hidden="1">
      <c r="D60" s="204" t="s">
        <v>536</v>
      </c>
      <c r="F60" s="212">
        <f>+F58-F59</f>
        <v>6689326.4100000001</v>
      </c>
      <c r="G60" s="212">
        <f>+G58-G59</f>
        <v>6669014</v>
      </c>
      <c r="H60" s="212">
        <f t="shared" ref="H60:Q60" si="9">+H58-H59</f>
        <v>6648701.5800000001</v>
      </c>
      <c r="I60" s="212">
        <f t="shared" si="9"/>
        <v>6648701.5800000001</v>
      </c>
      <c r="J60" s="212">
        <f t="shared" si="9"/>
        <v>6648701.5800000001</v>
      </c>
      <c r="K60" s="212">
        <f t="shared" si="9"/>
        <v>6648701.5800000001</v>
      </c>
      <c r="L60" s="212">
        <f t="shared" si="9"/>
        <v>6648701.5800000001</v>
      </c>
      <c r="M60" s="212">
        <f t="shared" si="9"/>
        <v>6648701.5800000001</v>
      </c>
      <c r="N60" s="212">
        <f t="shared" si="9"/>
        <v>6648701.5800000001</v>
      </c>
      <c r="O60" s="212">
        <f t="shared" si="9"/>
        <v>6648701.5800000001</v>
      </c>
      <c r="P60" s="212">
        <f t="shared" si="9"/>
        <v>6648701.5800000001</v>
      </c>
      <c r="Q60" s="212">
        <f t="shared" si="9"/>
        <v>6648701.5800000001</v>
      </c>
      <c r="R60" s="212"/>
    </row>
    <row r="61" spans="2:18" hidden="1">
      <c r="D61" s="204" t="s">
        <v>260</v>
      </c>
      <c r="E61" s="206" t="s">
        <v>38</v>
      </c>
      <c r="F61" s="186">
        <f>+VLOOKUP($E61,[1]tb!$B$12:$AC$193,4,0)</f>
        <v>0</v>
      </c>
      <c r="G61" s="186">
        <f>+VLOOKUP($E61,[1]tb!$B$12:$AC$193,6,0)</f>
        <v>0</v>
      </c>
      <c r="H61" s="186">
        <f>+VLOOKUP($E61,[1]tb!$B$12:$AC$193,8,0)</f>
        <v>0</v>
      </c>
      <c r="I61" s="186">
        <f>+VLOOKUP($E61,[1]tb!$B$12:$AC$193,10,0)</f>
        <v>0</v>
      </c>
      <c r="J61" s="186">
        <f>+VLOOKUP($E61,[1]tb!$B$12:$AC$193,12,0)</f>
        <v>0</v>
      </c>
      <c r="K61" s="186">
        <f>+VLOOKUP($E61,[1]tb!$B$12:$AC$193,14,0)</f>
        <v>0</v>
      </c>
      <c r="L61" s="186">
        <f>+VLOOKUP($E61,[1]tb!$B$12:$AC$193,16,0)</f>
        <v>0</v>
      </c>
      <c r="M61" s="186">
        <f>+VLOOKUP($E61,[1]tb!$B$12:$AC$193,18,0)</f>
        <v>0</v>
      </c>
      <c r="N61" s="186">
        <f>+VLOOKUP($E61,[1]tb!$B$12:$AC$193,20,0)</f>
        <v>0</v>
      </c>
      <c r="O61" s="186">
        <f>+VLOOKUP($E61,[1]tb!$B$12:$AC$193,22,0)</f>
        <v>0</v>
      </c>
      <c r="P61" s="186">
        <f>+VLOOKUP($E61,[1]tb!$B$12:$AC$193,24,0)</f>
        <v>0</v>
      </c>
      <c r="Q61" s="186">
        <f>+VLOOKUP($E61,[1]tb!$B$12:$AC$193,26,0)</f>
        <v>0</v>
      </c>
      <c r="R61" s="186"/>
    </row>
    <row r="62" spans="2:18" hidden="1">
      <c r="D62" s="204" t="s">
        <v>261</v>
      </c>
      <c r="E62" s="206" t="s">
        <v>39</v>
      </c>
      <c r="F62" s="186">
        <f>+VLOOKUP($E62,[1]tb!$B$12:$AC$193,5,0)</f>
        <v>0</v>
      </c>
      <c r="G62" s="186">
        <f>+VLOOKUP($E62,[1]tb!$B$12:$AC$193,7,0)</f>
        <v>0</v>
      </c>
      <c r="H62" s="186">
        <f>+VLOOKUP($E62,[1]tb!$B$12:$AC$193,9,0)</f>
        <v>0</v>
      </c>
      <c r="I62" s="186">
        <f>+VLOOKUP($E62,[1]tb!$B$12:$AC$193,11,0)</f>
        <v>0</v>
      </c>
      <c r="J62" s="186">
        <f>+VLOOKUP($E62,[1]tb!$B$12:$AC$193,13,0)</f>
        <v>0</v>
      </c>
      <c r="K62" s="186">
        <f>+VLOOKUP($E62,[1]tb!$B$12:$AC$193,15,0)</f>
        <v>0</v>
      </c>
      <c r="L62" s="186">
        <f>+VLOOKUP($E62,[1]tb!$B$12:$AC$193,17,0)</f>
        <v>0</v>
      </c>
      <c r="M62" s="186">
        <f>+VLOOKUP($E62,[1]tb!$B$12:$AC$193,19,0)</f>
        <v>0</v>
      </c>
      <c r="N62" s="186">
        <f>+VLOOKUP($E62,[1]tb!$B$12:$AC$193,21,0)</f>
        <v>0</v>
      </c>
      <c r="O62" s="186">
        <f>+VLOOKUP($E62,[1]tb!$B$12:$AC$193,23,0)</f>
        <v>0</v>
      </c>
      <c r="P62" s="186">
        <f>+VLOOKUP($E62,[1]tb!$B$12:$AC$193,25,0)</f>
        <v>0</v>
      </c>
      <c r="Q62" s="186">
        <f>+VLOOKUP($E62,[1]tb!$B$12:$AC$193,27,0)</f>
        <v>0</v>
      </c>
      <c r="R62" s="186"/>
    </row>
    <row r="63" spans="2:18" hidden="1">
      <c r="D63" s="204" t="s">
        <v>536</v>
      </c>
      <c r="F63" s="212">
        <f>+F61-F62</f>
        <v>0</v>
      </c>
      <c r="G63" s="212">
        <f>+G61-G62</f>
        <v>0</v>
      </c>
      <c r="H63" s="212">
        <f t="shared" ref="H63:Q63" si="10">+H61-H62</f>
        <v>0</v>
      </c>
      <c r="I63" s="212">
        <f t="shared" si="10"/>
        <v>0</v>
      </c>
      <c r="J63" s="212">
        <f t="shared" si="10"/>
        <v>0</v>
      </c>
      <c r="K63" s="212">
        <f t="shared" si="10"/>
        <v>0</v>
      </c>
      <c r="L63" s="212">
        <f t="shared" si="10"/>
        <v>0</v>
      </c>
      <c r="M63" s="212">
        <f t="shared" si="10"/>
        <v>0</v>
      </c>
      <c r="N63" s="212">
        <f t="shared" si="10"/>
        <v>0</v>
      </c>
      <c r="O63" s="212">
        <f t="shared" si="10"/>
        <v>0</v>
      </c>
      <c r="P63" s="212">
        <f t="shared" si="10"/>
        <v>0</v>
      </c>
      <c r="Q63" s="212">
        <f t="shared" si="10"/>
        <v>0</v>
      </c>
      <c r="R63" s="212"/>
    </row>
    <row r="64" spans="2:18" hidden="1">
      <c r="D64" s="204" t="s">
        <v>262</v>
      </c>
      <c r="E64" s="206" t="s">
        <v>40</v>
      </c>
      <c r="F64" s="186">
        <f>+VLOOKUP($E64,[1]tb!$B$12:$AC$193,4,0)</f>
        <v>0</v>
      </c>
      <c r="G64" s="186">
        <f>+VLOOKUP($E64,[1]tb!$B$12:$AC$193,6,0)</f>
        <v>0</v>
      </c>
      <c r="H64" s="186">
        <f>+VLOOKUP($E64,[1]tb!$B$12:$AC$193,8,0)</f>
        <v>0</v>
      </c>
      <c r="I64" s="186">
        <f>+VLOOKUP($E64,[1]tb!$B$12:$AC$193,10,0)</f>
        <v>0</v>
      </c>
      <c r="J64" s="186">
        <f>+VLOOKUP($E64,[1]tb!$B$12:$AC$193,12,0)</f>
        <v>0</v>
      </c>
      <c r="K64" s="186">
        <f>+VLOOKUP($E64,[1]tb!$B$12:$AC$193,14,0)</f>
        <v>0</v>
      </c>
      <c r="L64" s="186">
        <f>+VLOOKUP($E64,[1]tb!$B$12:$AC$193,16,0)</f>
        <v>0</v>
      </c>
      <c r="M64" s="186">
        <f>+VLOOKUP($E64,[1]tb!$B$12:$AC$193,18,0)</f>
        <v>0</v>
      </c>
      <c r="N64" s="186">
        <f>+VLOOKUP($E64,[1]tb!$B$12:$AC$193,20,0)</f>
        <v>0</v>
      </c>
      <c r="O64" s="186">
        <f>+VLOOKUP($E64,[1]tb!$B$12:$AC$193,22,0)</f>
        <v>0</v>
      </c>
      <c r="P64" s="186">
        <f>+VLOOKUP($E64,[1]tb!$B$12:$AC$193,24,0)</f>
        <v>0</v>
      </c>
      <c r="Q64" s="186">
        <f>+VLOOKUP($E64,[1]tb!$B$12:$AC$193,26,0)</f>
        <v>0</v>
      </c>
      <c r="R64" s="186"/>
    </row>
    <row r="65" spans="4:18" hidden="1">
      <c r="D65" s="204" t="s">
        <v>263</v>
      </c>
      <c r="E65" s="206" t="s">
        <v>41</v>
      </c>
      <c r="F65" s="186">
        <f>+VLOOKUP($E65,[1]tb!$B$12:$AC$193,5,0)</f>
        <v>0</v>
      </c>
      <c r="G65" s="186">
        <f>+VLOOKUP($E65,[1]tb!$B$12:$AC$193,7,0)</f>
        <v>0</v>
      </c>
      <c r="H65" s="186">
        <f>+VLOOKUP($E65,[1]tb!$B$12:$AC$193,9,0)</f>
        <v>0</v>
      </c>
      <c r="I65" s="186">
        <f>+VLOOKUP($E65,[1]tb!$B$12:$AC$193,11,0)</f>
        <v>0</v>
      </c>
      <c r="J65" s="186">
        <f>+VLOOKUP($E65,[1]tb!$B$12:$AC$193,13,0)</f>
        <v>0</v>
      </c>
      <c r="K65" s="186">
        <f>+VLOOKUP($E65,[1]tb!$B$12:$AC$193,15,0)</f>
        <v>0</v>
      </c>
      <c r="L65" s="186">
        <f>+VLOOKUP($E65,[1]tb!$B$12:$AC$193,17,0)</f>
        <v>0</v>
      </c>
      <c r="M65" s="186">
        <f>+VLOOKUP($E65,[1]tb!$B$12:$AC$193,19,0)</f>
        <v>0</v>
      </c>
      <c r="N65" s="186">
        <f>+VLOOKUP($E65,[1]tb!$B$12:$AC$193,21,0)</f>
        <v>0</v>
      </c>
      <c r="O65" s="186">
        <f>+VLOOKUP($E65,[1]tb!$B$12:$AC$193,23,0)</f>
        <v>0</v>
      </c>
      <c r="P65" s="186">
        <f>+VLOOKUP($E65,[1]tb!$B$12:$AC$193,25,0)</f>
        <v>0</v>
      </c>
      <c r="Q65" s="186">
        <f>+VLOOKUP($E65,[1]tb!$B$12:$AC$193,27,0)</f>
        <v>0</v>
      </c>
      <c r="R65" s="186"/>
    </row>
    <row r="66" spans="4:18" hidden="1">
      <c r="D66" s="204" t="s">
        <v>536</v>
      </c>
      <c r="F66" s="212">
        <f>+F64-F65</f>
        <v>0</v>
      </c>
      <c r="G66" s="212">
        <f>+G64-G65</f>
        <v>0</v>
      </c>
      <c r="H66" s="212">
        <f t="shared" ref="H66:Q66" si="11">+H64-H65</f>
        <v>0</v>
      </c>
      <c r="I66" s="212">
        <f t="shared" si="11"/>
        <v>0</v>
      </c>
      <c r="J66" s="212">
        <f t="shared" si="11"/>
        <v>0</v>
      </c>
      <c r="K66" s="212">
        <f t="shared" si="11"/>
        <v>0</v>
      </c>
      <c r="L66" s="212">
        <f t="shared" si="11"/>
        <v>0</v>
      </c>
      <c r="M66" s="212">
        <f t="shared" si="11"/>
        <v>0</v>
      </c>
      <c r="N66" s="212">
        <f t="shared" si="11"/>
        <v>0</v>
      </c>
      <c r="O66" s="212">
        <f t="shared" si="11"/>
        <v>0</v>
      </c>
      <c r="P66" s="212">
        <f t="shared" si="11"/>
        <v>0</v>
      </c>
      <c r="Q66" s="212">
        <f t="shared" si="11"/>
        <v>0</v>
      </c>
      <c r="R66" s="212"/>
    </row>
    <row r="67" spans="4:18" hidden="1">
      <c r="D67" s="204" t="s">
        <v>264</v>
      </c>
      <c r="E67" s="206" t="s">
        <v>42</v>
      </c>
      <c r="F67" s="186">
        <f>+VLOOKUP($E67,[1]tb!$B$12:$AC$193,4,0)</f>
        <v>1267376</v>
      </c>
      <c r="G67" s="186">
        <f>+VLOOKUP($E67,[1]tb!$B$12:$AC$193,6,0)</f>
        <v>1267376</v>
      </c>
      <c r="H67" s="186">
        <f>+VLOOKUP($E67,[1]tb!$B$12:$AC$193,8,0)</f>
        <v>1267376</v>
      </c>
      <c r="I67" s="186">
        <f>+VLOOKUP($E67,[1]tb!$B$12:$AC$193,10,0)</f>
        <v>1267376</v>
      </c>
      <c r="J67" s="186">
        <f>+VLOOKUP($E67,[1]tb!$B$12:$AC$193,12,0)</f>
        <v>1267376</v>
      </c>
      <c r="K67" s="186">
        <f>+VLOOKUP($E67,[1]tb!$B$12:$AC$193,14,0)</f>
        <v>1267376</v>
      </c>
      <c r="L67" s="186">
        <f>+VLOOKUP($E67,[1]tb!$B$12:$AC$193,16,0)</f>
        <v>1267376</v>
      </c>
      <c r="M67" s="186">
        <f>+VLOOKUP($E67,[1]tb!$B$12:$AC$193,18,0)</f>
        <v>1267376</v>
      </c>
      <c r="N67" s="186">
        <f>+VLOOKUP($E67,[1]tb!$B$12:$AC$193,20,0)</f>
        <v>1267376</v>
      </c>
      <c r="O67" s="186">
        <f>+VLOOKUP($E67,[1]tb!$B$12:$AC$193,22,0)</f>
        <v>1267376</v>
      </c>
      <c r="P67" s="186">
        <f>+VLOOKUP($E67,[1]tb!$B$12:$AC$193,24,0)</f>
        <v>1267376</v>
      </c>
      <c r="Q67" s="186">
        <f>+VLOOKUP($E67,[1]tb!$B$12:$AC$193,26,0)</f>
        <v>1267376</v>
      </c>
      <c r="R67" s="186"/>
    </row>
    <row r="68" spans="4:18" hidden="1">
      <c r="D68" s="204" t="s">
        <v>265</v>
      </c>
      <c r="E68" s="206" t="s">
        <v>43</v>
      </c>
      <c r="F68" s="186">
        <f>+VLOOKUP($E68,[1]tb!$B$12:$AC$193,5,0)</f>
        <v>948903.30999999994</v>
      </c>
      <c r="G68" s="186">
        <f>+VLOOKUP($E68,[1]tb!$B$12:$AC$193,7,0)</f>
        <v>954828.37999999989</v>
      </c>
      <c r="H68" s="186">
        <f>+VLOOKUP($E68,[1]tb!$B$12:$AC$193,9,0)</f>
        <v>960753.45999999985</v>
      </c>
      <c r="I68" s="186">
        <f>+VLOOKUP($E68,[1]tb!$B$12:$AC$193,11,0)</f>
        <v>960753.45999999985</v>
      </c>
      <c r="J68" s="186">
        <f>+VLOOKUP($E68,[1]tb!$B$12:$AC$193,13,0)</f>
        <v>960753.45999999985</v>
      </c>
      <c r="K68" s="186">
        <f>+VLOOKUP($E68,[1]tb!$B$12:$AC$193,15,0)</f>
        <v>960753.45999999985</v>
      </c>
      <c r="L68" s="186">
        <f>+VLOOKUP($E68,[1]tb!$B$12:$AC$193,17,0)</f>
        <v>960753.45999999985</v>
      </c>
      <c r="M68" s="186">
        <f>+VLOOKUP($E68,[1]tb!$B$12:$AC$193,19,0)</f>
        <v>960753.45999999985</v>
      </c>
      <c r="N68" s="186">
        <f>+VLOOKUP($E68,[1]tb!$B$12:$AC$193,21,0)</f>
        <v>960753.45999999985</v>
      </c>
      <c r="O68" s="186">
        <f>+VLOOKUP($E68,[1]tb!$B$12:$AC$193,23,0)</f>
        <v>960753.45999999985</v>
      </c>
      <c r="P68" s="186">
        <f>+VLOOKUP($E68,[1]tb!$B$12:$AC$193,25,0)</f>
        <v>960753.45999999985</v>
      </c>
      <c r="Q68" s="186">
        <f>+VLOOKUP($E68,[1]tb!$B$12:$AC$193,27,0)</f>
        <v>960753.45999999985</v>
      </c>
      <c r="R68" s="186"/>
    </row>
    <row r="69" spans="4:18" hidden="1">
      <c r="D69" s="204" t="s">
        <v>536</v>
      </c>
      <c r="F69" s="212">
        <f>+F67-F68</f>
        <v>318472.69000000006</v>
      </c>
      <c r="G69" s="212">
        <f>+G67-G68</f>
        <v>312547.62000000011</v>
      </c>
      <c r="H69" s="212">
        <f t="shared" ref="H69:Q69" si="12">+H67-H68</f>
        <v>306622.54000000015</v>
      </c>
      <c r="I69" s="212">
        <f t="shared" si="12"/>
        <v>306622.54000000015</v>
      </c>
      <c r="J69" s="212">
        <f t="shared" si="12"/>
        <v>306622.54000000015</v>
      </c>
      <c r="K69" s="212">
        <f t="shared" si="12"/>
        <v>306622.54000000015</v>
      </c>
      <c r="L69" s="212">
        <f t="shared" si="12"/>
        <v>306622.54000000015</v>
      </c>
      <c r="M69" s="212">
        <f t="shared" si="12"/>
        <v>306622.54000000015</v>
      </c>
      <c r="N69" s="212">
        <f t="shared" si="12"/>
        <v>306622.54000000015</v>
      </c>
      <c r="O69" s="212">
        <f t="shared" si="12"/>
        <v>306622.54000000015</v>
      </c>
      <c r="P69" s="212">
        <f t="shared" si="12"/>
        <v>306622.54000000015</v>
      </c>
      <c r="Q69" s="212">
        <f t="shared" si="12"/>
        <v>306622.54000000015</v>
      </c>
      <c r="R69" s="212"/>
    </row>
    <row r="70" spans="4:18" hidden="1">
      <c r="D70" s="204" t="s">
        <v>266</v>
      </c>
      <c r="E70" s="206" t="s">
        <v>44</v>
      </c>
      <c r="F70" s="186">
        <f>+VLOOKUP($E70,[1]tb!$B$12:$AC$193,4,0)</f>
        <v>5320523.72</v>
      </c>
      <c r="G70" s="186">
        <f>+VLOOKUP($E70,[1]tb!$B$12:$AC$193,6,0)</f>
        <v>5320523.72</v>
      </c>
      <c r="H70" s="186">
        <f>+VLOOKUP($E70,[1]tb!$B$12:$AC$193,8,0)</f>
        <v>5320523.72</v>
      </c>
      <c r="I70" s="186">
        <f>+VLOOKUP($E70,[1]tb!$B$12:$AC$193,10,0)</f>
        <v>5320523.72</v>
      </c>
      <c r="J70" s="186">
        <f>+VLOOKUP($E70,[1]tb!$B$12:$AC$193,12,0)</f>
        <v>5320523.72</v>
      </c>
      <c r="K70" s="186">
        <f>+VLOOKUP($E70,[1]tb!$B$12:$AC$193,14,0)</f>
        <v>5320523.72</v>
      </c>
      <c r="L70" s="186">
        <f>+VLOOKUP($E70,[1]tb!$B$12:$AC$193,16,0)</f>
        <v>5320523.72</v>
      </c>
      <c r="M70" s="186">
        <f>+VLOOKUP($E70,[1]tb!$B$12:$AC$193,18,0)</f>
        <v>5320523.72</v>
      </c>
      <c r="N70" s="186">
        <f>+VLOOKUP($E70,[1]tb!$B$12:$AC$193,20,0)</f>
        <v>5320523.72</v>
      </c>
      <c r="O70" s="186">
        <f>+VLOOKUP($E70,[1]tb!$B$12:$AC$193,22,0)</f>
        <v>5320523.72</v>
      </c>
      <c r="P70" s="186">
        <f>+VLOOKUP($E70,[1]tb!$B$12:$AC$193,24,0)</f>
        <v>5320523.72</v>
      </c>
      <c r="Q70" s="186">
        <f>+VLOOKUP($E70,[1]tb!$B$12:$AC$193,26,0)</f>
        <v>5320523.72</v>
      </c>
      <c r="R70" s="186"/>
    </row>
    <row r="71" spans="4:18" hidden="1">
      <c r="D71" s="204" t="s">
        <v>267</v>
      </c>
      <c r="E71" s="206" t="s">
        <v>45</v>
      </c>
      <c r="F71" s="186">
        <f>+VLOOKUP($E71,[1]tb!$B$12:$AC$193,5,0)</f>
        <v>4100202.84</v>
      </c>
      <c r="G71" s="186">
        <f>+VLOOKUP($E71,[1]tb!$B$12:$AC$193,7,0)</f>
        <v>4124453.86</v>
      </c>
      <c r="H71" s="186">
        <f>+VLOOKUP($E71,[1]tb!$B$12:$AC$193,9,0)</f>
        <v>4148705.3</v>
      </c>
      <c r="I71" s="186">
        <f>+VLOOKUP($E71,[1]tb!$B$12:$AC$193,11,0)</f>
        <v>4148705.3</v>
      </c>
      <c r="J71" s="186">
        <f>+VLOOKUP($E71,[1]tb!$B$12:$AC$193,13,0)</f>
        <v>4148705.3</v>
      </c>
      <c r="K71" s="186">
        <f>+VLOOKUP($E71,[1]tb!$B$12:$AC$193,15,0)</f>
        <v>4148705.3</v>
      </c>
      <c r="L71" s="186">
        <f>+VLOOKUP($E71,[1]tb!$B$12:$AC$193,17,0)</f>
        <v>4148705.3</v>
      </c>
      <c r="M71" s="186">
        <f>+VLOOKUP($E71,[1]tb!$B$12:$AC$193,19,0)</f>
        <v>4148705.3</v>
      </c>
      <c r="N71" s="186">
        <f>+VLOOKUP($E71,[1]tb!$B$12:$AC$193,21,0)</f>
        <v>4148705.3</v>
      </c>
      <c r="O71" s="186">
        <f>+VLOOKUP($E71,[1]tb!$B$12:$AC$193,23,0)</f>
        <v>4148705.3</v>
      </c>
      <c r="P71" s="186">
        <f>+VLOOKUP($E71,[1]tb!$B$12:$AC$193,25,0)</f>
        <v>4148705.3</v>
      </c>
      <c r="Q71" s="186">
        <f>+VLOOKUP($E71,[1]tb!$B$12:$AC$193,27,0)</f>
        <v>4148705.3</v>
      </c>
      <c r="R71" s="186"/>
    </row>
    <row r="72" spans="4:18" hidden="1">
      <c r="D72" s="204" t="s">
        <v>536</v>
      </c>
      <c r="F72" s="212">
        <f>+F70-F71</f>
        <v>1220320.8799999999</v>
      </c>
      <c r="G72" s="212">
        <f>+G70-G71</f>
        <v>1196069.8599999999</v>
      </c>
      <c r="H72" s="212">
        <f t="shared" ref="H72:Q72" si="13">+H70-H71</f>
        <v>1171818.42</v>
      </c>
      <c r="I72" s="212">
        <f t="shared" si="13"/>
        <v>1171818.42</v>
      </c>
      <c r="J72" s="212">
        <f t="shared" si="13"/>
        <v>1171818.42</v>
      </c>
      <c r="K72" s="212">
        <f t="shared" si="13"/>
        <v>1171818.42</v>
      </c>
      <c r="L72" s="212">
        <f t="shared" si="13"/>
        <v>1171818.42</v>
      </c>
      <c r="M72" s="212">
        <f t="shared" si="13"/>
        <v>1171818.42</v>
      </c>
      <c r="N72" s="212">
        <f t="shared" si="13"/>
        <v>1171818.42</v>
      </c>
      <c r="O72" s="212">
        <f t="shared" si="13"/>
        <v>1171818.42</v>
      </c>
      <c r="P72" s="212">
        <f t="shared" si="13"/>
        <v>1171818.42</v>
      </c>
      <c r="Q72" s="212">
        <f t="shared" si="13"/>
        <v>1171818.42</v>
      </c>
      <c r="R72" s="212"/>
    </row>
    <row r="73" spans="4:18" hidden="1">
      <c r="D73" s="204" t="s">
        <v>268</v>
      </c>
      <c r="E73" s="206" t="s">
        <v>46</v>
      </c>
      <c r="F73" s="186">
        <f>+VLOOKUP($E73,[1]tb!$B$12:$AC$193,4,0)</f>
        <v>58765</v>
      </c>
      <c r="G73" s="186">
        <f>+VLOOKUP($E73,[1]tb!$B$12:$AC$193,6,0)</f>
        <v>58765</v>
      </c>
      <c r="H73" s="186">
        <f>+VLOOKUP($E73,[1]tb!$B$12:$AC$193,8,0)</f>
        <v>58765</v>
      </c>
      <c r="I73" s="186">
        <f>+VLOOKUP($E73,[1]tb!$B$12:$AC$193,10,0)</f>
        <v>58765</v>
      </c>
      <c r="J73" s="186">
        <f>+VLOOKUP($E73,[1]tb!$B$12:$AC$193,12,0)</f>
        <v>58765</v>
      </c>
      <c r="K73" s="186">
        <f>+VLOOKUP($E73,[1]tb!$B$12:$AC$193,14,0)</f>
        <v>58765</v>
      </c>
      <c r="L73" s="186">
        <f>+VLOOKUP($E73,[1]tb!$B$12:$AC$193,16,0)</f>
        <v>58765</v>
      </c>
      <c r="M73" s="186">
        <f>+VLOOKUP($E73,[1]tb!$B$12:$AC$193,18,0)</f>
        <v>58765</v>
      </c>
      <c r="N73" s="186">
        <f>+VLOOKUP($E73,[1]tb!$B$12:$AC$193,20,0)</f>
        <v>58765</v>
      </c>
      <c r="O73" s="186">
        <f>+VLOOKUP($E73,[1]tb!$B$12:$AC$193,22,0)</f>
        <v>58765</v>
      </c>
      <c r="P73" s="186">
        <f>+VLOOKUP($E73,[1]tb!$B$12:$AC$193,24,0)</f>
        <v>58765</v>
      </c>
      <c r="Q73" s="186">
        <f>+VLOOKUP($E73,[1]tb!$B$12:$AC$193,26,0)</f>
        <v>58765</v>
      </c>
      <c r="R73" s="186"/>
    </row>
    <row r="74" spans="4:18" hidden="1">
      <c r="D74" s="204" t="s">
        <v>269</v>
      </c>
      <c r="E74" s="206" t="s">
        <v>47</v>
      </c>
      <c r="F74" s="186">
        <f>+VLOOKUP($E74,[1]tb!$B$12:$AC$193,5,0)</f>
        <v>38305.71</v>
      </c>
      <c r="G74" s="186">
        <f>+VLOOKUP($E74,[1]tb!$B$12:$AC$193,7,0)</f>
        <v>38528.94</v>
      </c>
      <c r="H74" s="186">
        <f>+VLOOKUP($E74,[1]tb!$B$12:$AC$193,9,0)</f>
        <v>38752.18</v>
      </c>
      <c r="I74" s="186">
        <f>+VLOOKUP($E74,[1]tb!$B$12:$AC$193,11,0)</f>
        <v>38752.18</v>
      </c>
      <c r="J74" s="186">
        <f>+VLOOKUP($E74,[1]tb!$B$12:$AC$193,13,0)</f>
        <v>38752.18</v>
      </c>
      <c r="K74" s="186">
        <f>+VLOOKUP($E74,[1]tb!$B$12:$AC$193,15,0)</f>
        <v>38752.18</v>
      </c>
      <c r="L74" s="186">
        <f>+VLOOKUP($E74,[1]tb!$B$12:$AC$193,17,0)</f>
        <v>38752.18</v>
      </c>
      <c r="M74" s="186">
        <f>+VLOOKUP($E74,[1]tb!$B$12:$AC$193,19,0)</f>
        <v>38752.18</v>
      </c>
      <c r="N74" s="186">
        <f>+VLOOKUP($E74,[1]tb!$B$12:$AC$193,21,0)</f>
        <v>38752.18</v>
      </c>
      <c r="O74" s="186">
        <f>+VLOOKUP($E74,[1]tb!$B$12:$AC$193,23,0)</f>
        <v>38752.18</v>
      </c>
      <c r="P74" s="186">
        <f>+VLOOKUP($E74,[1]tb!$B$12:$AC$193,25,0)</f>
        <v>38752.18</v>
      </c>
      <c r="Q74" s="186">
        <f>+VLOOKUP($E74,[1]tb!$B$12:$AC$193,27,0)</f>
        <v>38752.18</v>
      </c>
      <c r="R74" s="186"/>
    </row>
    <row r="75" spans="4:18" hidden="1">
      <c r="D75" s="204" t="s">
        <v>536</v>
      </c>
      <c r="F75" s="212">
        <f>+F73-F74</f>
        <v>20459.29</v>
      </c>
      <c r="G75" s="212">
        <f>+G73-G74</f>
        <v>20236.059999999998</v>
      </c>
      <c r="H75" s="212">
        <f t="shared" ref="H75:Q75" si="14">+H73-H74</f>
        <v>20012.82</v>
      </c>
      <c r="I75" s="212">
        <f t="shared" si="14"/>
        <v>20012.82</v>
      </c>
      <c r="J75" s="212">
        <f t="shared" si="14"/>
        <v>20012.82</v>
      </c>
      <c r="K75" s="212">
        <f t="shared" si="14"/>
        <v>20012.82</v>
      </c>
      <c r="L75" s="212">
        <f t="shared" si="14"/>
        <v>20012.82</v>
      </c>
      <c r="M75" s="212">
        <f t="shared" si="14"/>
        <v>20012.82</v>
      </c>
      <c r="N75" s="212">
        <f t="shared" si="14"/>
        <v>20012.82</v>
      </c>
      <c r="O75" s="212">
        <f t="shared" si="14"/>
        <v>20012.82</v>
      </c>
      <c r="P75" s="212">
        <f t="shared" si="14"/>
        <v>20012.82</v>
      </c>
      <c r="Q75" s="212">
        <f t="shared" si="14"/>
        <v>20012.82</v>
      </c>
      <c r="R75" s="212"/>
    </row>
    <row r="76" spans="4:18" hidden="1">
      <c r="D76" s="204" t="s">
        <v>280</v>
      </c>
      <c r="E76" s="206" t="s">
        <v>58</v>
      </c>
      <c r="F76" s="186">
        <f>+VLOOKUP($E76,[1]tb!$B$12:$AC$193,4,0)</f>
        <v>14083970.4</v>
      </c>
      <c r="G76" s="186">
        <f>+VLOOKUP($E76,[1]tb!$B$12:$AC$193,6,0)</f>
        <v>14083970.4</v>
      </c>
      <c r="H76" s="186">
        <f>+VLOOKUP($E76,[1]tb!$B$12:$AC$193,8,0)</f>
        <v>14103720.4</v>
      </c>
      <c r="I76" s="186">
        <f>+VLOOKUP($E76,[1]tb!$B$12:$AC$193,10,0)</f>
        <v>14103720.4</v>
      </c>
      <c r="J76" s="186">
        <f>+VLOOKUP($E76,[1]tb!$B$12:$AC$193,12,0)</f>
        <v>14103720.4</v>
      </c>
      <c r="K76" s="186">
        <f>+VLOOKUP($E76,[1]tb!$B$12:$AC$193,14,0)</f>
        <v>14103720.4</v>
      </c>
      <c r="L76" s="186">
        <f>+VLOOKUP($E76,[1]tb!$B$12:$AC$193,16,0)</f>
        <v>14103720.4</v>
      </c>
      <c r="M76" s="186">
        <f>+VLOOKUP($E76,[1]tb!$B$12:$AC$193,18,0)</f>
        <v>14103720.4</v>
      </c>
      <c r="N76" s="186">
        <f>+VLOOKUP($E76,[1]tb!$B$12:$AC$193,20,0)</f>
        <v>14103720.4</v>
      </c>
      <c r="O76" s="186">
        <f>+VLOOKUP($E76,[1]tb!$B$12:$AC$193,22,0)</f>
        <v>14103720.4</v>
      </c>
      <c r="P76" s="186">
        <f>+VLOOKUP($E76,[1]tb!$B$12:$AC$193,24,0)</f>
        <v>14103720.4</v>
      </c>
      <c r="Q76" s="186">
        <f>+VLOOKUP($E76,[1]tb!$B$12:$AC$193,26,0)</f>
        <v>14103720.4</v>
      </c>
      <c r="R76" s="186"/>
    </row>
    <row r="77" spans="4:18" hidden="1">
      <c r="D77" s="204" t="s">
        <v>281</v>
      </c>
      <c r="E77" s="206" t="s">
        <v>59</v>
      </c>
      <c r="F77" s="186">
        <f>+VLOOKUP($E77,[1]tb!$B$12:$AC$193,5,0)</f>
        <v>4772676.41</v>
      </c>
      <c r="G77" s="186">
        <f>+VLOOKUP($E77,[1]tb!$B$12:$AC$193,7,0)</f>
        <v>4866682.12</v>
      </c>
      <c r="H77" s="186">
        <f>+VLOOKUP($E77,[1]tb!$B$12:$AC$193,9,0)</f>
        <v>4964054.4400000004</v>
      </c>
      <c r="I77" s="186">
        <f>+VLOOKUP($E77,[1]tb!$B$12:$AC$193,11,0)</f>
        <v>4964054.4400000004</v>
      </c>
      <c r="J77" s="186">
        <f>+VLOOKUP($E77,[1]tb!$B$12:$AC$193,13,0)</f>
        <v>4964054.4400000004</v>
      </c>
      <c r="K77" s="186">
        <f>+VLOOKUP($E77,[1]tb!$B$12:$AC$193,15,0)</f>
        <v>4964054.4400000004</v>
      </c>
      <c r="L77" s="186">
        <f>+VLOOKUP($E77,[1]tb!$B$12:$AC$193,17,0)</f>
        <v>4964054.4400000004</v>
      </c>
      <c r="M77" s="186">
        <f>+VLOOKUP($E77,[1]tb!$B$12:$AC$193,19,0)</f>
        <v>4964054.4400000004</v>
      </c>
      <c r="N77" s="186">
        <f>+VLOOKUP($E77,[1]tb!$B$12:$AC$193,21,0)</f>
        <v>4964054.4400000004</v>
      </c>
      <c r="O77" s="186">
        <f>+VLOOKUP($E77,[1]tb!$B$12:$AC$193,23,0)</f>
        <v>4964054.4400000004</v>
      </c>
      <c r="P77" s="186">
        <f>+VLOOKUP($E77,[1]tb!$B$12:$AC$193,25,0)</f>
        <v>4964054.4400000004</v>
      </c>
      <c r="Q77" s="186">
        <f>+VLOOKUP($E77,[1]tb!$B$12:$AC$193,27,0)</f>
        <v>4964054.4400000004</v>
      </c>
      <c r="R77" s="186"/>
    </row>
    <row r="78" spans="4:18" hidden="1">
      <c r="D78" s="204" t="s">
        <v>536</v>
      </c>
      <c r="F78" s="212">
        <f>+F76-F77</f>
        <v>9311293.9900000002</v>
      </c>
      <c r="G78" s="212">
        <f>+G76-G77</f>
        <v>9217288.2800000012</v>
      </c>
      <c r="H78" s="212">
        <f t="shared" ref="H78:Q78" si="15">+H76-H77</f>
        <v>9139665.9600000009</v>
      </c>
      <c r="I78" s="212">
        <f t="shared" si="15"/>
        <v>9139665.9600000009</v>
      </c>
      <c r="J78" s="212">
        <f t="shared" si="15"/>
        <v>9139665.9600000009</v>
      </c>
      <c r="K78" s="212">
        <f t="shared" si="15"/>
        <v>9139665.9600000009</v>
      </c>
      <c r="L78" s="212">
        <f t="shared" si="15"/>
        <v>9139665.9600000009</v>
      </c>
      <c r="M78" s="212">
        <f t="shared" si="15"/>
        <v>9139665.9600000009</v>
      </c>
      <c r="N78" s="212">
        <f t="shared" si="15"/>
        <v>9139665.9600000009</v>
      </c>
      <c r="O78" s="212">
        <f t="shared" si="15"/>
        <v>9139665.9600000009</v>
      </c>
      <c r="P78" s="212">
        <f t="shared" si="15"/>
        <v>9139665.9600000009</v>
      </c>
      <c r="Q78" s="212">
        <f t="shared" si="15"/>
        <v>9139665.9600000009</v>
      </c>
      <c r="R78" s="212"/>
    </row>
    <row r="79" spans="4:18" hidden="1">
      <c r="D79" s="204" t="s">
        <v>284</v>
      </c>
      <c r="E79" s="206" t="s">
        <v>62</v>
      </c>
      <c r="F79" s="186">
        <f>+VLOOKUP($E79,[1]tb!$B$12:$AC$193,4,0)</f>
        <v>4244500</v>
      </c>
      <c r="G79" s="186">
        <f>+VLOOKUP($E79,[1]tb!$B$12:$AC$193,6,0)</f>
        <v>4244500</v>
      </c>
      <c r="H79" s="186">
        <f>+VLOOKUP($E79,[1]tb!$B$12:$AC$193,8,0)</f>
        <v>4244500</v>
      </c>
      <c r="I79" s="186">
        <f>+VLOOKUP($E79,[1]tb!$B$12:$AC$193,10,0)</f>
        <v>4244500</v>
      </c>
      <c r="J79" s="186">
        <f>+VLOOKUP($E79,[1]tb!$B$12:$AC$193,12,0)</f>
        <v>4244500</v>
      </c>
      <c r="K79" s="186">
        <f>+VLOOKUP($E79,[1]tb!$B$12:$AC$193,14,0)</f>
        <v>4244500</v>
      </c>
      <c r="L79" s="186">
        <f>+VLOOKUP($E79,[1]tb!$B$12:$AC$193,16,0)</f>
        <v>4244500</v>
      </c>
      <c r="M79" s="186">
        <f>+VLOOKUP($E79,[1]tb!$B$12:$AC$193,18,0)</f>
        <v>4244500</v>
      </c>
      <c r="N79" s="186">
        <f>+VLOOKUP($E79,[1]tb!$B$12:$AC$193,20,0)</f>
        <v>4244500</v>
      </c>
      <c r="O79" s="186">
        <f>+VLOOKUP($E79,[1]tb!$B$12:$AC$193,22,0)</f>
        <v>4244500</v>
      </c>
      <c r="P79" s="186">
        <f>+VLOOKUP($E79,[1]tb!$B$12:$AC$193,24,0)</f>
        <v>4244500</v>
      </c>
      <c r="Q79" s="186">
        <f>+VLOOKUP($E79,[1]tb!$B$12:$AC$193,26,0)</f>
        <v>4244500</v>
      </c>
      <c r="R79" s="186"/>
    </row>
    <row r="80" spans="4:18" hidden="1">
      <c r="D80" s="204" t="s">
        <v>285</v>
      </c>
      <c r="E80" s="206" t="s">
        <v>63</v>
      </c>
      <c r="F80" s="186">
        <f>+VLOOKUP($E80,[1]tb!$B$12:$AC$193,5,0)</f>
        <v>2791151.79</v>
      </c>
      <c r="G80" s="186">
        <f>+VLOOKUP($E80,[1]tb!$B$12:$AC$193,7,0)</f>
        <v>2813217.86</v>
      </c>
      <c r="H80" s="186">
        <f>+VLOOKUP($E80,[1]tb!$B$12:$AC$193,9,0)</f>
        <v>2835283.9299999997</v>
      </c>
      <c r="I80" s="186">
        <f>+VLOOKUP($E80,[1]tb!$B$12:$AC$193,11,0)</f>
        <v>2835283.9299999997</v>
      </c>
      <c r="J80" s="186">
        <f>+VLOOKUP($E80,[1]tb!$B$12:$AC$193,13,0)</f>
        <v>2835283.9299999997</v>
      </c>
      <c r="K80" s="186">
        <f>+VLOOKUP($E80,[1]tb!$B$12:$AC$193,15,0)</f>
        <v>2835283.9299999997</v>
      </c>
      <c r="L80" s="186">
        <f>+VLOOKUP($E80,[1]tb!$B$12:$AC$193,17,0)</f>
        <v>2835283.9299999997</v>
      </c>
      <c r="M80" s="186">
        <f>+VLOOKUP($E80,[1]tb!$B$12:$AC$193,19,0)</f>
        <v>2835283.9299999997</v>
      </c>
      <c r="N80" s="186">
        <f>+VLOOKUP($E80,[1]tb!$B$12:$AC$193,21,0)</f>
        <v>2835283.9299999997</v>
      </c>
      <c r="O80" s="186">
        <f>+VLOOKUP($E80,[1]tb!$B$12:$AC$193,23,0)</f>
        <v>2835283.9299999997</v>
      </c>
      <c r="P80" s="186">
        <f>+VLOOKUP($E80,[1]tb!$B$12:$AC$193,25,0)</f>
        <v>2835283.9299999997</v>
      </c>
      <c r="Q80" s="186">
        <f>+VLOOKUP($E80,[1]tb!$B$12:$AC$193,27,0)</f>
        <v>2835283.9299999997</v>
      </c>
      <c r="R80" s="186"/>
    </row>
    <row r="81" spans="3:18" hidden="1">
      <c r="D81" s="204" t="s">
        <v>536</v>
      </c>
      <c r="F81" s="212">
        <f>+F79-F80</f>
        <v>1453348.21</v>
      </c>
      <c r="G81" s="212">
        <f>+G79-G80</f>
        <v>1431282.1400000001</v>
      </c>
      <c r="H81" s="212">
        <f t="shared" ref="H81:Q81" si="16">+H79-H80</f>
        <v>1409216.0700000003</v>
      </c>
      <c r="I81" s="212">
        <f t="shared" si="16"/>
        <v>1409216.0700000003</v>
      </c>
      <c r="J81" s="212">
        <f t="shared" si="16"/>
        <v>1409216.0700000003</v>
      </c>
      <c r="K81" s="212">
        <f t="shared" si="16"/>
        <v>1409216.0700000003</v>
      </c>
      <c r="L81" s="212">
        <f t="shared" si="16"/>
        <v>1409216.0700000003</v>
      </c>
      <c r="M81" s="212">
        <f t="shared" si="16"/>
        <v>1409216.0700000003</v>
      </c>
      <c r="N81" s="212">
        <f t="shared" si="16"/>
        <v>1409216.0700000003</v>
      </c>
      <c r="O81" s="212">
        <f t="shared" si="16"/>
        <v>1409216.0700000003</v>
      </c>
      <c r="P81" s="212">
        <f t="shared" si="16"/>
        <v>1409216.0700000003</v>
      </c>
      <c r="Q81" s="212">
        <f t="shared" si="16"/>
        <v>1409216.0700000003</v>
      </c>
      <c r="R81" s="212"/>
    </row>
    <row r="82" spans="3:18" hidden="1">
      <c r="D82" s="204" t="s">
        <v>288</v>
      </c>
      <c r="E82" s="206" t="s">
        <v>66</v>
      </c>
      <c r="F82" s="186">
        <f>+VLOOKUP($E82,[1]tb!$B$12:$AC$193,4,0)</f>
        <v>1494617.21</v>
      </c>
      <c r="G82" s="186">
        <f>+VLOOKUP($E82,[1]tb!$B$12:$AC$193,6,0)</f>
        <v>1494617.21</v>
      </c>
      <c r="H82" s="186">
        <f>+VLOOKUP($E82,[1]tb!$B$12:$AC$193,8,0)</f>
        <v>1494617.21</v>
      </c>
      <c r="I82" s="186">
        <f>+VLOOKUP($E82,[1]tb!$B$12:$AC$193,10,0)</f>
        <v>1494617.21</v>
      </c>
      <c r="J82" s="186">
        <f>+VLOOKUP($E82,[1]tb!$B$12:$AC$193,12,0)</f>
        <v>1494617.21</v>
      </c>
      <c r="K82" s="186">
        <f>+VLOOKUP($E82,[1]tb!$B$12:$AC$193,14,0)</f>
        <v>1494617.21</v>
      </c>
      <c r="L82" s="186">
        <f>+VLOOKUP($E82,[1]tb!$B$12:$AC$193,16,0)</f>
        <v>1494617.21</v>
      </c>
      <c r="M82" s="186">
        <f>+VLOOKUP($E82,[1]tb!$B$12:$AC$193,18,0)</f>
        <v>1494617.21</v>
      </c>
      <c r="N82" s="186">
        <f>+VLOOKUP($E82,[1]tb!$B$12:$AC$193,20,0)</f>
        <v>1494617.21</v>
      </c>
      <c r="O82" s="186">
        <f>+VLOOKUP($E82,[1]tb!$B$12:$AC$193,22,0)</f>
        <v>1494617.21</v>
      </c>
      <c r="P82" s="186">
        <f>+VLOOKUP($E82,[1]tb!$B$12:$AC$193,24,0)</f>
        <v>1494617.21</v>
      </c>
      <c r="Q82" s="186">
        <f>+VLOOKUP($E82,[1]tb!$B$12:$AC$193,26,0)</f>
        <v>1494617.21</v>
      </c>
      <c r="R82" s="186"/>
    </row>
    <row r="83" spans="3:18" hidden="1">
      <c r="D83" s="204" t="s">
        <v>289</v>
      </c>
      <c r="E83" s="206" t="s">
        <v>67</v>
      </c>
      <c r="F83" s="186">
        <f>+VLOOKUP($E83,[1]tb!$B$12:$AC$193,5,0)</f>
        <v>500121.4</v>
      </c>
      <c r="G83" s="186">
        <f>+VLOOKUP($E83,[1]tb!$B$12:$AC$193,7,0)</f>
        <v>509233.73000000004</v>
      </c>
      <c r="H83" s="186">
        <f>+VLOOKUP($E83,[1]tb!$B$12:$AC$193,9,0)</f>
        <v>518346.74000000005</v>
      </c>
      <c r="I83" s="186">
        <f>+VLOOKUP($E83,[1]tb!$B$12:$AC$193,11,0)</f>
        <v>518346.74000000005</v>
      </c>
      <c r="J83" s="186">
        <f>+VLOOKUP($E83,[1]tb!$B$12:$AC$193,13,0)</f>
        <v>518346.74000000005</v>
      </c>
      <c r="K83" s="186">
        <f>+VLOOKUP($E83,[1]tb!$B$12:$AC$193,15,0)</f>
        <v>518346.74000000005</v>
      </c>
      <c r="L83" s="186">
        <f>+VLOOKUP($E83,[1]tb!$B$12:$AC$193,17,0)</f>
        <v>518346.74000000005</v>
      </c>
      <c r="M83" s="186">
        <f>+VLOOKUP($E83,[1]tb!$B$12:$AC$193,19,0)</f>
        <v>518346.74000000005</v>
      </c>
      <c r="N83" s="186">
        <f>+VLOOKUP($E83,[1]tb!$B$12:$AC$193,21,0)</f>
        <v>518346.74000000005</v>
      </c>
      <c r="O83" s="186">
        <f>+VLOOKUP($E83,[1]tb!$B$12:$AC$193,23,0)</f>
        <v>518346.74000000005</v>
      </c>
      <c r="P83" s="186">
        <f>+VLOOKUP($E83,[1]tb!$B$12:$AC$193,25,0)</f>
        <v>518346.74000000005</v>
      </c>
      <c r="Q83" s="186">
        <f>+VLOOKUP($E83,[1]tb!$B$12:$AC$193,27,0)</f>
        <v>518346.74000000005</v>
      </c>
      <c r="R83" s="186"/>
    </row>
    <row r="84" spans="3:18" hidden="1">
      <c r="D84" s="204" t="s">
        <v>536</v>
      </c>
      <c r="F84" s="212">
        <f>+F82-F83</f>
        <v>994495.80999999994</v>
      </c>
      <c r="G84" s="212">
        <f>+G82-G83</f>
        <v>985383.48</v>
      </c>
      <c r="H84" s="212">
        <f t="shared" ref="H84:Q84" si="17">+H82-H83</f>
        <v>976270.47</v>
      </c>
      <c r="I84" s="212">
        <f t="shared" si="17"/>
        <v>976270.47</v>
      </c>
      <c r="J84" s="212">
        <f t="shared" si="17"/>
        <v>976270.47</v>
      </c>
      <c r="K84" s="212">
        <f t="shared" si="17"/>
        <v>976270.47</v>
      </c>
      <c r="L84" s="212">
        <f t="shared" si="17"/>
        <v>976270.47</v>
      </c>
      <c r="M84" s="212">
        <f t="shared" si="17"/>
        <v>976270.47</v>
      </c>
      <c r="N84" s="212">
        <f t="shared" si="17"/>
        <v>976270.47</v>
      </c>
      <c r="O84" s="212">
        <f t="shared" si="17"/>
        <v>976270.47</v>
      </c>
      <c r="P84" s="212">
        <f t="shared" si="17"/>
        <v>976270.47</v>
      </c>
      <c r="Q84" s="212">
        <f t="shared" si="17"/>
        <v>976270.47</v>
      </c>
      <c r="R84" s="212"/>
    </row>
    <row r="85" spans="3:18" hidden="1">
      <c r="D85" s="204" t="s">
        <v>294</v>
      </c>
      <c r="E85" s="206" t="s">
        <v>72</v>
      </c>
      <c r="F85" s="212">
        <f>+VLOOKUP($E85,[1]tb!$B$12:$AC$193,4,0)</f>
        <v>6521489.2300000004</v>
      </c>
      <c r="G85" s="212">
        <f>+VLOOKUP($E85,[1]tb!$B$12:$AC$193,6,0)</f>
        <v>6521489.2300000004</v>
      </c>
      <c r="H85" s="212">
        <f>+VLOOKUP($E85,[1]tb!$B$12:$AC$193,8,0)</f>
        <v>6521489.2300000004</v>
      </c>
      <c r="I85" s="212">
        <f>+VLOOKUP($E85,[1]tb!$B$12:$AC$193,10,0)</f>
        <v>6521489.2300000004</v>
      </c>
      <c r="J85" s="212">
        <f>+VLOOKUP($E85,[1]tb!$B$12:$AC$193,12,0)</f>
        <v>6521489.2300000004</v>
      </c>
      <c r="K85" s="212">
        <f>+VLOOKUP($E85,[1]tb!$B$12:$AC$193,14,0)</f>
        <v>6521489.2300000004</v>
      </c>
      <c r="L85" s="212">
        <f>+VLOOKUP($E85,[1]tb!$B$12:$AC$193,16,0)</f>
        <v>6521489.2300000004</v>
      </c>
      <c r="M85" s="212">
        <f>+VLOOKUP($E85,[1]tb!$B$12:$AC$193,18,0)</f>
        <v>6521489.2300000004</v>
      </c>
      <c r="N85" s="212">
        <f>+VLOOKUP($E85,[1]tb!$B$12:$AC$193,20,0)</f>
        <v>6521489.2300000004</v>
      </c>
      <c r="O85" s="212">
        <f>+VLOOKUP($E85,[1]tb!$B$12:$AC$193,22,0)</f>
        <v>6521489.2300000004</v>
      </c>
      <c r="P85" s="212">
        <f>+VLOOKUP($E85,[1]tb!$B$12:$AC$193,24,0)</f>
        <v>6521489.2300000004</v>
      </c>
      <c r="Q85" s="212">
        <f>+VLOOKUP($E85,[1]tb!$B$12:$AC$193,26,0)</f>
        <v>6521489.2300000004</v>
      </c>
      <c r="R85" s="212"/>
    </row>
    <row r="86" spans="3:18" hidden="1">
      <c r="D86" s="204" t="s">
        <v>295</v>
      </c>
      <c r="E86" s="206" t="s">
        <v>73</v>
      </c>
      <c r="F86" s="186">
        <f>+VLOOKUP($E86,[1]tb!$B$12:$AC$193,4,0)</f>
        <v>691130</v>
      </c>
      <c r="G86" s="186">
        <f>+VLOOKUP($E86,[1]tb!$B$12:$AC$193,6,0)</f>
        <v>691130</v>
      </c>
      <c r="H86" s="186">
        <f>+VLOOKUP($E86,[1]tb!$B$12:$AC$193,8,0)</f>
        <v>714920</v>
      </c>
      <c r="I86" s="186">
        <f>+VLOOKUP($E86,[1]tb!$B$12:$AC$193,10,0)</f>
        <v>714920</v>
      </c>
      <c r="J86" s="186">
        <f>+VLOOKUP($E86,[1]tb!$B$12:$AC$193,12,0)</f>
        <v>714920</v>
      </c>
      <c r="K86" s="186">
        <f>+VLOOKUP($E86,[1]tb!$B$12:$AC$193,14,0)</f>
        <v>714920</v>
      </c>
      <c r="L86" s="186">
        <f>+VLOOKUP($E86,[1]tb!$B$12:$AC$193,16,0)</f>
        <v>714920</v>
      </c>
      <c r="M86" s="186">
        <f>+VLOOKUP($E86,[1]tb!$B$12:$AC$193,18,0)</f>
        <v>714920</v>
      </c>
      <c r="N86" s="186">
        <f>+VLOOKUP($E86,[1]tb!$B$12:$AC$193,20,0)</f>
        <v>714920</v>
      </c>
      <c r="O86" s="186">
        <f>+VLOOKUP($E86,[1]tb!$B$12:$AC$193,22,0)</f>
        <v>714920</v>
      </c>
      <c r="P86" s="186">
        <f>+VLOOKUP($E86,[1]tb!$B$12:$AC$193,24,0)</f>
        <v>714920</v>
      </c>
      <c r="Q86" s="186">
        <f>+VLOOKUP($E86,[1]tb!$B$12:$AC$193,26,0)</f>
        <v>714920</v>
      </c>
      <c r="R86" s="186"/>
    </row>
    <row r="87" spans="3:18" hidden="1">
      <c r="D87" s="204" t="s">
        <v>296</v>
      </c>
      <c r="E87" s="206" t="s">
        <v>74</v>
      </c>
      <c r="F87" s="186">
        <f>+VLOOKUP($E87,[1]tb!$B$12:$AC$193,5,0)</f>
        <v>392946.83</v>
      </c>
      <c r="G87" s="186">
        <f>+VLOOKUP($E87,[1]tb!$B$12:$AC$193,7,0)</f>
        <v>399736.09</v>
      </c>
      <c r="H87" s="186">
        <f>+VLOOKUP($E87,[1]tb!$B$12:$AC$193,9,0)</f>
        <v>415387.22000000003</v>
      </c>
      <c r="I87" s="186">
        <f>+VLOOKUP($E87,[1]tb!$B$12:$AC$193,11,0)</f>
        <v>415387.22000000003</v>
      </c>
      <c r="J87" s="186">
        <f>+VLOOKUP($E87,[1]tb!$B$12:$AC$193,13,0)</f>
        <v>415387.22000000003</v>
      </c>
      <c r="K87" s="186">
        <f>+VLOOKUP($E87,[1]tb!$B$12:$AC$193,15,0)</f>
        <v>415387.22000000003</v>
      </c>
      <c r="L87" s="186">
        <f>+VLOOKUP($E87,[1]tb!$B$12:$AC$193,17,0)</f>
        <v>415387.22000000003</v>
      </c>
      <c r="M87" s="186">
        <f>+VLOOKUP($E87,[1]tb!$B$12:$AC$193,19,0)</f>
        <v>415387.22000000003</v>
      </c>
      <c r="N87" s="186">
        <f>+VLOOKUP($E87,[1]tb!$B$12:$AC$193,21,0)</f>
        <v>415387.22000000003</v>
      </c>
      <c r="O87" s="186">
        <f>+VLOOKUP($E87,[1]tb!$B$12:$AC$193,23,0)</f>
        <v>415387.22000000003</v>
      </c>
      <c r="P87" s="186">
        <f>+VLOOKUP($E87,[1]tb!$B$12:$AC$193,25,0)</f>
        <v>415387.22000000003</v>
      </c>
      <c r="Q87" s="186">
        <f>+VLOOKUP($E87,[1]tb!$B$12:$AC$193,27,0)</f>
        <v>415387.22000000003</v>
      </c>
      <c r="R87" s="186"/>
    </row>
    <row r="88" spans="3:18" hidden="1">
      <c r="D88" s="204" t="s">
        <v>536</v>
      </c>
      <c r="F88" s="212">
        <f>+F86-F87</f>
        <v>298183.17</v>
      </c>
      <c r="G88" s="212">
        <f>+G86-G87</f>
        <v>291393.90999999997</v>
      </c>
      <c r="H88" s="212">
        <f t="shared" ref="H88:Q88" si="18">+H86-H87</f>
        <v>299532.77999999997</v>
      </c>
      <c r="I88" s="212">
        <f t="shared" si="18"/>
        <v>299532.77999999997</v>
      </c>
      <c r="J88" s="212">
        <f t="shared" si="18"/>
        <v>299532.77999999997</v>
      </c>
      <c r="K88" s="212">
        <f t="shared" si="18"/>
        <v>299532.77999999997</v>
      </c>
      <c r="L88" s="212">
        <f t="shared" si="18"/>
        <v>299532.77999999997</v>
      </c>
      <c r="M88" s="212">
        <f t="shared" si="18"/>
        <v>299532.77999999997</v>
      </c>
      <c r="N88" s="212">
        <f t="shared" si="18"/>
        <v>299532.77999999997</v>
      </c>
      <c r="O88" s="212">
        <f t="shared" si="18"/>
        <v>299532.77999999997</v>
      </c>
      <c r="P88" s="212">
        <f t="shared" si="18"/>
        <v>299532.77999999997</v>
      </c>
      <c r="Q88" s="212">
        <f t="shared" si="18"/>
        <v>299532.77999999997</v>
      </c>
      <c r="R88" s="212"/>
    </row>
    <row r="89" spans="3:18" ht="5.0999999999999996" hidden="1" customHeight="1"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3:18" hidden="1">
      <c r="C90" s="208" t="s">
        <v>714</v>
      </c>
      <c r="F90" s="209">
        <f>+F91</f>
        <v>0</v>
      </c>
      <c r="G90" s="209">
        <f>+G91</f>
        <v>0</v>
      </c>
      <c r="H90" s="209">
        <f t="shared" ref="H90:Q90" si="19">+H91</f>
        <v>0</v>
      </c>
      <c r="I90" s="209">
        <f t="shared" si="19"/>
        <v>0</v>
      </c>
      <c r="J90" s="209">
        <f t="shared" si="19"/>
        <v>0</v>
      </c>
      <c r="K90" s="209">
        <f t="shared" si="19"/>
        <v>0</v>
      </c>
      <c r="L90" s="209">
        <f t="shared" si="19"/>
        <v>0</v>
      </c>
      <c r="M90" s="209">
        <f t="shared" si="19"/>
        <v>0</v>
      </c>
      <c r="N90" s="209">
        <f t="shared" si="19"/>
        <v>0</v>
      </c>
      <c r="O90" s="209">
        <f t="shared" si="19"/>
        <v>0</v>
      </c>
      <c r="P90" s="209">
        <f t="shared" si="19"/>
        <v>0</v>
      </c>
      <c r="Q90" s="209">
        <f t="shared" si="19"/>
        <v>0</v>
      </c>
      <c r="R90" s="209">
        <f t="shared" ref="R90:R99" si="20">+Q90</f>
        <v>0</v>
      </c>
    </row>
    <row r="91" spans="3:18" hidden="1">
      <c r="D91" s="204" t="s">
        <v>297</v>
      </c>
      <c r="E91" s="206" t="s">
        <v>75</v>
      </c>
      <c r="F91" s="213">
        <f>+VLOOKUP($E91,[1]tb!$B$12:$AC$193,4,0)</f>
        <v>0</v>
      </c>
      <c r="G91" s="213">
        <f>+VLOOKUP($E91,[1]tb!$B$12:$AC$193,6,0)</f>
        <v>0</v>
      </c>
      <c r="H91" s="213">
        <f>+VLOOKUP($E91,[1]tb!$B$12:$AC$193,8,0)</f>
        <v>0</v>
      </c>
      <c r="I91" s="213">
        <f>+VLOOKUP($E91,[1]tb!$B$12:$AC$193,10,0)</f>
        <v>0</v>
      </c>
      <c r="J91" s="213">
        <f>+VLOOKUP($E91,[1]tb!$B$12:$AC$193,12,0)</f>
        <v>0</v>
      </c>
      <c r="K91" s="213">
        <f>+VLOOKUP($E91,[1]tb!$B$12:$AC$193,14,0)</f>
        <v>0</v>
      </c>
      <c r="L91" s="213">
        <f>+VLOOKUP($E91,[1]tb!$B$12:$AC$193,16,0)</f>
        <v>0</v>
      </c>
      <c r="M91" s="213">
        <f>+VLOOKUP($E91,[1]tb!$B$12:$AC$193,18,0)</f>
        <v>0</v>
      </c>
      <c r="N91" s="213">
        <f>+VLOOKUP($E91,[1]tb!$B$12:$AC$193,20,0)</f>
        <v>0</v>
      </c>
      <c r="O91" s="213">
        <f>+VLOOKUP($E91,[1]tb!$B$12:$AC$193,22,0)</f>
        <v>0</v>
      </c>
      <c r="P91" s="213">
        <f>+VLOOKUP($E91,[1]tb!$B$12:$AC$193,24,0)</f>
        <v>0</v>
      </c>
      <c r="Q91" s="213">
        <f>+VLOOKUP($E91,[1]tb!$B$12:$AC$193,26,0)</f>
        <v>0</v>
      </c>
      <c r="R91" s="213">
        <f t="shared" si="20"/>
        <v>0</v>
      </c>
    </row>
    <row r="92" spans="3:18" ht="5.0999999999999996" customHeight="1"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3"/>
      <c r="R92" s="213"/>
    </row>
    <row r="93" spans="3:18">
      <c r="D93" s="210" t="s">
        <v>715</v>
      </c>
      <c r="F93" s="211">
        <f>+F90+F52</f>
        <v>27434880.300000004</v>
      </c>
      <c r="G93" s="211">
        <f>+G90+G52</f>
        <v>27251998.330000002</v>
      </c>
      <c r="H93" s="211">
        <f t="shared" ref="H93:Q93" si="21">+H90+H52</f>
        <v>27100426.740000002</v>
      </c>
      <c r="I93" s="211">
        <f t="shared" si="21"/>
        <v>27100426.740000002</v>
      </c>
      <c r="J93" s="211">
        <f t="shared" si="21"/>
        <v>27100426.740000002</v>
      </c>
      <c r="K93" s="211">
        <f t="shared" si="21"/>
        <v>27100426.740000002</v>
      </c>
      <c r="L93" s="211">
        <f t="shared" si="21"/>
        <v>27100426.740000002</v>
      </c>
      <c r="M93" s="211">
        <f t="shared" si="21"/>
        <v>27100426.740000002</v>
      </c>
      <c r="N93" s="211">
        <f t="shared" si="21"/>
        <v>27100426.740000002</v>
      </c>
      <c r="O93" s="211">
        <f t="shared" si="21"/>
        <v>27100426.740000002</v>
      </c>
      <c r="P93" s="211">
        <f t="shared" si="21"/>
        <v>27100426.740000002</v>
      </c>
      <c r="Q93" s="211">
        <f t="shared" si="21"/>
        <v>27100426.740000002</v>
      </c>
      <c r="R93" s="211"/>
    </row>
    <row r="94" spans="3:18" ht="5.0999999999999996" customHeight="1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3:18" ht="12.75" thickBot="1">
      <c r="D95" s="210" t="s">
        <v>716</v>
      </c>
      <c r="F95" s="214">
        <f>+F93+F48</f>
        <v>30298470.180000003</v>
      </c>
      <c r="G95" s="214">
        <f>+G93+G48</f>
        <v>30624135.230000004</v>
      </c>
      <c r="H95" s="214">
        <f t="shared" ref="H95:Q95" si="22">+H93+H48</f>
        <v>30855390.100000001</v>
      </c>
      <c r="I95" s="214">
        <f t="shared" si="22"/>
        <v>30855390.100000001</v>
      </c>
      <c r="J95" s="214">
        <f t="shared" si="22"/>
        <v>30855390.100000001</v>
      </c>
      <c r="K95" s="214">
        <f t="shared" si="22"/>
        <v>30855390.100000001</v>
      </c>
      <c r="L95" s="214">
        <f t="shared" si="22"/>
        <v>30855390.100000001</v>
      </c>
      <c r="M95" s="214">
        <f t="shared" si="22"/>
        <v>30855390.100000001</v>
      </c>
      <c r="N95" s="214">
        <f t="shared" si="22"/>
        <v>30855390.100000001</v>
      </c>
      <c r="O95" s="214">
        <f t="shared" si="22"/>
        <v>30855390.100000001</v>
      </c>
      <c r="P95" s="214">
        <f t="shared" si="22"/>
        <v>30855390.100000001</v>
      </c>
      <c r="Q95" s="214">
        <f t="shared" si="22"/>
        <v>30855390.100000001</v>
      </c>
      <c r="R95" s="214">
        <f>R48</f>
        <v>16019</v>
      </c>
    </row>
    <row r="96" spans="3:18" ht="5.0999999999999996" customHeight="1" thickTop="1"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1:18"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>
        <f t="shared" si="20"/>
        <v>0</v>
      </c>
    </row>
    <row r="98" spans="1:18">
      <c r="A98" s="208" t="s">
        <v>564</v>
      </c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>
        <f t="shared" si="20"/>
        <v>0</v>
      </c>
    </row>
    <row r="99" spans="1:18" hidden="1">
      <c r="B99" s="208" t="s">
        <v>717</v>
      </c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>
        <f t="shared" si="20"/>
        <v>0</v>
      </c>
    </row>
    <row r="100" spans="1:18" ht="5.0999999999999996" hidden="1" customHeight="1"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1:18" hidden="1">
      <c r="C101" s="208" t="s">
        <v>718</v>
      </c>
      <c r="F101" s="209">
        <f>+SUM(F102:F104)</f>
        <v>589691.80000000005</v>
      </c>
      <c r="G101" s="209">
        <f>+SUM(G102:G104)</f>
        <v>589691.80000000005</v>
      </c>
      <c r="H101" s="209">
        <f t="shared" ref="H101:Q101" si="23">+SUM(H102:H104)</f>
        <v>589691.80000000016</v>
      </c>
      <c r="I101" s="209">
        <f t="shared" si="23"/>
        <v>589691.80000000016</v>
      </c>
      <c r="J101" s="209">
        <f t="shared" si="23"/>
        <v>589691.80000000016</v>
      </c>
      <c r="K101" s="209">
        <f t="shared" si="23"/>
        <v>589691.80000000016</v>
      </c>
      <c r="L101" s="209">
        <f t="shared" si="23"/>
        <v>589691.80000000016</v>
      </c>
      <c r="M101" s="209">
        <f t="shared" si="23"/>
        <v>589691.80000000016</v>
      </c>
      <c r="N101" s="209">
        <f t="shared" si="23"/>
        <v>589691.80000000016</v>
      </c>
      <c r="O101" s="209">
        <f t="shared" si="23"/>
        <v>589691.80000000016</v>
      </c>
      <c r="P101" s="209">
        <f t="shared" si="23"/>
        <v>589691.80000000016</v>
      </c>
      <c r="Q101" s="209">
        <f t="shared" si="23"/>
        <v>589691.80000000016</v>
      </c>
      <c r="R101" s="209"/>
    </row>
    <row r="102" spans="1:18" hidden="1">
      <c r="D102" s="204" t="s">
        <v>309</v>
      </c>
      <c r="E102" s="206" t="s">
        <v>87</v>
      </c>
      <c r="F102" s="186">
        <f>+VLOOKUP($E102,[1]tb!$B$12:$AC$193,5,0)</f>
        <v>589691.80000000005</v>
      </c>
      <c r="G102" s="186">
        <f>+VLOOKUP($E102,[1]tb!$B$12:$AC$193,7,0)</f>
        <v>589691.80000000005</v>
      </c>
      <c r="H102" s="186">
        <f>+VLOOKUP($E102,[1]tb!$B$12:$AC$193,9,0)</f>
        <v>589691.80000000005</v>
      </c>
      <c r="I102" s="186">
        <f>+VLOOKUP($E102,[1]tb!$B$12:$AC$193,11,0)</f>
        <v>589691.80000000005</v>
      </c>
      <c r="J102" s="186">
        <f>+VLOOKUP($E102,[1]tb!$B$12:$AC$193,13,0)</f>
        <v>589691.80000000005</v>
      </c>
      <c r="K102" s="186">
        <f>+VLOOKUP($E102,[1]tb!$B$12:$AC$193,15,0)</f>
        <v>589691.80000000005</v>
      </c>
      <c r="L102" s="186">
        <f>+VLOOKUP($E102,[1]tb!$B$12:$AC$193,17,0)</f>
        <v>589691.80000000005</v>
      </c>
      <c r="M102" s="186">
        <f>+VLOOKUP($E102,[1]tb!$B$12:$AC$193,19,0)</f>
        <v>589691.80000000005</v>
      </c>
      <c r="N102" s="186">
        <f>+VLOOKUP($E102,[1]tb!$B$12:$AC$193,21,0)</f>
        <v>589691.80000000005</v>
      </c>
      <c r="O102" s="186">
        <f>+VLOOKUP($E102,[1]tb!$B$12:$AC$193,23,0)</f>
        <v>589691.80000000005</v>
      </c>
      <c r="P102" s="186">
        <f>+VLOOKUP($E102,[1]tb!$B$12:$AC$193,25,0)</f>
        <v>589691.80000000005</v>
      </c>
      <c r="Q102" s="186">
        <f>+VLOOKUP($E102,[1]tb!$B$12:$AC$193,27,0)</f>
        <v>589691.80000000005</v>
      </c>
      <c r="R102" s="186"/>
    </row>
    <row r="103" spans="1:18" hidden="1">
      <c r="D103" s="204" t="s">
        <v>310</v>
      </c>
      <c r="E103" s="206" t="s">
        <v>88</v>
      </c>
      <c r="F103" s="186">
        <f>+VLOOKUP($E103,[1]tb!$B$12:$AC$193,5,0)</f>
        <v>0</v>
      </c>
      <c r="G103" s="186">
        <f>+VLOOKUP($E103,[1]tb!$B$12:$AC$193,7,0)</f>
        <v>5.8207660913467407E-11</v>
      </c>
      <c r="H103" s="186">
        <f>+VLOOKUP($E103,[1]tb!$B$12:$AC$193,9,0)</f>
        <v>1.1641532182693481E-10</v>
      </c>
      <c r="I103" s="186">
        <f>+VLOOKUP($E103,[1]tb!$B$12:$AC$193,11,0)</f>
        <v>1.1641532182693481E-10</v>
      </c>
      <c r="J103" s="186">
        <f>+VLOOKUP($E103,[1]tb!$B$12:$AC$193,13,0)</f>
        <v>1.1641532182693481E-10</v>
      </c>
      <c r="K103" s="186">
        <f>+VLOOKUP($E103,[1]tb!$B$12:$AC$193,15,0)</f>
        <v>1.1641532182693481E-10</v>
      </c>
      <c r="L103" s="186">
        <f>+VLOOKUP($E103,[1]tb!$B$12:$AC$193,17,0)</f>
        <v>1.1641532182693481E-10</v>
      </c>
      <c r="M103" s="186">
        <f>+VLOOKUP($E103,[1]tb!$B$12:$AC$193,19,0)</f>
        <v>1.1641532182693481E-10</v>
      </c>
      <c r="N103" s="186">
        <f>+VLOOKUP($E103,[1]tb!$B$12:$AC$193,21,0)</f>
        <v>1.1641532182693481E-10</v>
      </c>
      <c r="O103" s="186">
        <f>+VLOOKUP($E103,[1]tb!$B$12:$AC$193,23,0)</f>
        <v>1.1641532182693481E-10</v>
      </c>
      <c r="P103" s="186">
        <f>+VLOOKUP($E103,[1]tb!$B$12:$AC$193,25,0)</f>
        <v>1.1641532182693481E-10</v>
      </c>
      <c r="Q103" s="186">
        <f>+VLOOKUP($E103,[1]tb!$B$12:$AC$193,27,0)</f>
        <v>1.1641532182693481E-10</v>
      </c>
      <c r="R103" s="186"/>
    </row>
    <row r="104" spans="1:18" ht="5.0999999999999996" hidden="1" customHeight="1"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1:18" hidden="1">
      <c r="C105" s="208" t="s">
        <v>719</v>
      </c>
      <c r="F105" s="209">
        <f>+SUM(F106:F112)</f>
        <v>186916.78999999998</v>
      </c>
      <c r="G105" s="209">
        <f>+SUM(G106:G112)</f>
        <v>195571.72999999998</v>
      </c>
      <c r="H105" s="209">
        <f t="shared" ref="H105:Q105" si="24">+SUM(H106:H112)</f>
        <v>200409.60999999996</v>
      </c>
      <c r="I105" s="209">
        <f t="shared" si="24"/>
        <v>200409.60999999996</v>
      </c>
      <c r="J105" s="209">
        <f t="shared" si="24"/>
        <v>200409.60999999996</v>
      </c>
      <c r="K105" s="209">
        <f t="shared" si="24"/>
        <v>200409.60999999996</v>
      </c>
      <c r="L105" s="209">
        <f t="shared" si="24"/>
        <v>200409.60999999996</v>
      </c>
      <c r="M105" s="209">
        <f t="shared" si="24"/>
        <v>200409.60999999996</v>
      </c>
      <c r="N105" s="209">
        <f t="shared" si="24"/>
        <v>200409.60999999996</v>
      </c>
      <c r="O105" s="209">
        <f t="shared" si="24"/>
        <v>200409.60999999996</v>
      </c>
      <c r="P105" s="209">
        <f t="shared" si="24"/>
        <v>200409.60999999996</v>
      </c>
      <c r="Q105" s="209">
        <f t="shared" si="24"/>
        <v>200409.60999999996</v>
      </c>
      <c r="R105" s="209"/>
    </row>
    <row r="106" spans="1:18" hidden="1">
      <c r="D106" s="204" t="s">
        <v>311</v>
      </c>
      <c r="E106" s="206" t="s">
        <v>89</v>
      </c>
      <c r="F106" s="186">
        <f>+VLOOKUP($E106,[1]tb!$B$12:$AC$193,5,0)</f>
        <v>186916.78999999998</v>
      </c>
      <c r="G106" s="186">
        <f>+VLOOKUP($E106,[1]tb!$B$12:$AC$193,7,0)</f>
        <v>193771.72999999998</v>
      </c>
      <c r="H106" s="186">
        <f>+VLOOKUP($E106,[1]tb!$B$12:$AC$193,9,0)</f>
        <v>198709.60999999996</v>
      </c>
      <c r="I106" s="186">
        <f>+VLOOKUP($E106,[1]tb!$B$12:$AC$193,11,0)</f>
        <v>198709.60999999996</v>
      </c>
      <c r="J106" s="186">
        <f>+VLOOKUP($E106,[1]tb!$B$12:$AC$193,13,0)</f>
        <v>198709.60999999996</v>
      </c>
      <c r="K106" s="186">
        <f>+VLOOKUP($E106,[1]tb!$B$12:$AC$193,15,0)</f>
        <v>198709.60999999996</v>
      </c>
      <c r="L106" s="186">
        <f>+VLOOKUP($E106,[1]tb!$B$12:$AC$193,17,0)</f>
        <v>198709.60999999996</v>
      </c>
      <c r="M106" s="186">
        <f>+VLOOKUP($E106,[1]tb!$B$12:$AC$193,19,0)</f>
        <v>198709.60999999996</v>
      </c>
      <c r="N106" s="186">
        <f>+VLOOKUP($E106,[1]tb!$B$12:$AC$193,21,0)</f>
        <v>198709.60999999996</v>
      </c>
      <c r="O106" s="186">
        <f>+VLOOKUP($E106,[1]tb!$B$12:$AC$193,23,0)</f>
        <v>198709.60999999996</v>
      </c>
      <c r="P106" s="186">
        <f>+VLOOKUP($E106,[1]tb!$B$12:$AC$193,25,0)</f>
        <v>198709.60999999996</v>
      </c>
      <c r="Q106" s="186">
        <f>+VLOOKUP($E106,[1]tb!$B$12:$AC$193,27,0)</f>
        <v>198709.60999999996</v>
      </c>
      <c r="R106" s="186"/>
    </row>
    <row r="107" spans="1:18" hidden="1">
      <c r="D107" s="204" t="s">
        <v>312</v>
      </c>
      <c r="E107" s="206" t="s">
        <v>90</v>
      </c>
      <c r="F107" s="186">
        <f>+VLOOKUP($E107,[1]tb!$B$12:$AC$193,5,0)</f>
        <v>0</v>
      </c>
      <c r="G107" s="186">
        <f>+VLOOKUP($E107,[1]tb!$B$12:$AC$193,7,0)</f>
        <v>0</v>
      </c>
      <c r="H107" s="186">
        <f>+VLOOKUP($E107,[1]tb!$B$12:$AC$193,9,0)</f>
        <v>0</v>
      </c>
      <c r="I107" s="186">
        <f>+VLOOKUP($E107,[1]tb!$B$12:$AC$193,11,0)</f>
        <v>0</v>
      </c>
      <c r="J107" s="186">
        <f>+VLOOKUP($E107,[1]tb!$B$12:$AC$193,13,0)</f>
        <v>0</v>
      </c>
      <c r="K107" s="186">
        <f>+VLOOKUP($E107,[1]tb!$B$12:$AC$193,15,0)</f>
        <v>0</v>
      </c>
      <c r="L107" s="186">
        <f>+VLOOKUP($E107,[1]tb!$B$12:$AC$193,17,0)</f>
        <v>0</v>
      </c>
      <c r="M107" s="186">
        <f>+VLOOKUP($E107,[1]tb!$B$12:$AC$193,19,0)</f>
        <v>0</v>
      </c>
      <c r="N107" s="186">
        <f>+VLOOKUP($E107,[1]tb!$B$12:$AC$193,21,0)</f>
        <v>0</v>
      </c>
      <c r="O107" s="186">
        <f>+VLOOKUP($E107,[1]tb!$B$12:$AC$193,23,0)</f>
        <v>0</v>
      </c>
      <c r="P107" s="186">
        <f>+VLOOKUP($E107,[1]tb!$B$12:$AC$193,25,0)</f>
        <v>0</v>
      </c>
      <c r="Q107" s="186">
        <f>+VLOOKUP($E107,[1]tb!$B$12:$AC$193,27,0)</f>
        <v>0</v>
      </c>
      <c r="R107" s="186"/>
    </row>
    <row r="108" spans="1:18" hidden="1">
      <c r="D108" s="204" t="s">
        <v>313</v>
      </c>
      <c r="E108" s="206" t="s">
        <v>91</v>
      </c>
      <c r="F108" s="186">
        <f>+VLOOKUP($E108,[1]tb!$B$12:$AC$193,5,0)</f>
        <v>0</v>
      </c>
      <c r="G108" s="186">
        <f>+VLOOKUP($E108,[1]tb!$B$12:$AC$193,7,0)</f>
        <v>1799.9999999999927</v>
      </c>
      <c r="H108" s="186">
        <f>+VLOOKUP($E108,[1]tb!$B$12:$AC$193,9,0)</f>
        <v>0</v>
      </c>
      <c r="I108" s="186">
        <f>+VLOOKUP($E108,[1]tb!$B$12:$AC$193,11,0)</f>
        <v>0</v>
      </c>
      <c r="J108" s="186">
        <f>+VLOOKUP($E108,[1]tb!$B$12:$AC$193,13,0)</f>
        <v>0</v>
      </c>
      <c r="K108" s="186">
        <f>+VLOOKUP($E108,[1]tb!$B$12:$AC$193,15,0)</f>
        <v>0</v>
      </c>
      <c r="L108" s="186">
        <f>+VLOOKUP($E108,[1]tb!$B$12:$AC$193,17,0)</f>
        <v>0</v>
      </c>
      <c r="M108" s="186">
        <f>+VLOOKUP($E108,[1]tb!$B$12:$AC$193,19,0)</f>
        <v>0</v>
      </c>
      <c r="N108" s="186">
        <f>+VLOOKUP($E108,[1]tb!$B$12:$AC$193,21,0)</f>
        <v>0</v>
      </c>
      <c r="O108" s="186">
        <f>+VLOOKUP($E108,[1]tb!$B$12:$AC$193,23,0)</f>
        <v>0</v>
      </c>
      <c r="P108" s="186">
        <f>+VLOOKUP($E108,[1]tb!$B$12:$AC$193,25,0)</f>
        <v>0</v>
      </c>
      <c r="Q108" s="186">
        <f>+VLOOKUP($E108,[1]tb!$B$12:$AC$193,27,0)</f>
        <v>0</v>
      </c>
      <c r="R108" s="186"/>
    </row>
    <row r="109" spans="1:18" hidden="1">
      <c r="D109" s="204" t="s">
        <v>314</v>
      </c>
      <c r="E109" s="206" t="s">
        <v>92</v>
      </c>
      <c r="F109" s="186">
        <f>+VLOOKUP($E109,[1]tb!$B$12:$AC$193,5,0)</f>
        <v>0</v>
      </c>
      <c r="G109" s="186">
        <f>+VLOOKUP($E109,[1]tb!$B$12:$AC$193,7,0)</f>
        <v>0</v>
      </c>
      <c r="H109" s="186">
        <f>+VLOOKUP($E109,[1]tb!$B$12:$AC$193,9,0)</f>
        <v>1700</v>
      </c>
      <c r="I109" s="186">
        <f>+VLOOKUP($E109,[1]tb!$B$12:$AC$193,11,0)</f>
        <v>1700</v>
      </c>
      <c r="J109" s="186">
        <f>+VLOOKUP($E109,[1]tb!$B$12:$AC$193,13,0)</f>
        <v>1700</v>
      </c>
      <c r="K109" s="186">
        <f>+VLOOKUP($E109,[1]tb!$B$12:$AC$193,15,0)</f>
        <v>1700</v>
      </c>
      <c r="L109" s="186">
        <f>+VLOOKUP($E109,[1]tb!$B$12:$AC$193,17,0)</f>
        <v>1700</v>
      </c>
      <c r="M109" s="186">
        <f>+VLOOKUP($E109,[1]tb!$B$12:$AC$193,19,0)</f>
        <v>1700</v>
      </c>
      <c r="N109" s="186">
        <f>+VLOOKUP($E109,[1]tb!$B$12:$AC$193,21,0)</f>
        <v>1700</v>
      </c>
      <c r="O109" s="186">
        <f>+VLOOKUP($E109,[1]tb!$B$12:$AC$193,23,0)</f>
        <v>1700</v>
      </c>
      <c r="P109" s="186">
        <f>+VLOOKUP($E109,[1]tb!$B$12:$AC$193,25,0)</f>
        <v>1700</v>
      </c>
      <c r="Q109" s="186">
        <f>+VLOOKUP($E109,[1]tb!$B$12:$AC$193,27,0)</f>
        <v>1700</v>
      </c>
      <c r="R109" s="186"/>
    </row>
    <row r="110" spans="1:18" hidden="1">
      <c r="D110" s="204" t="s">
        <v>315</v>
      </c>
      <c r="E110" s="206" t="s">
        <v>93</v>
      </c>
      <c r="F110" s="186">
        <f>+VLOOKUP($E110,[1]tb!$B$12:$AC$193,5,0)</f>
        <v>0</v>
      </c>
      <c r="G110" s="186">
        <f>+VLOOKUP($E110,[1]tb!$B$12:$AC$193,7,0)</f>
        <v>0</v>
      </c>
      <c r="H110" s="186">
        <f>+VLOOKUP($E110,[1]tb!$B$12:$AC$193,9,0)</f>
        <v>0</v>
      </c>
      <c r="I110" s="186">
        <f>+VLOOKUP($E110,[1]tb!$B$12:$AC$193,11,0)</f>
        <v>0</v>
      </c>
      <c r="J110" s="186">
        <f>+VLOOKUP($E110,[1]tb!$B$12:$AC$193,13,0)</f>
        <v>0</v>
      </c>
      <c r="K110" s="186">
        <f>+VLOOKUP($E110,[1]tb!$B$12:$AC$193,15,0)</f>
        <v>0</v>
      </c>
      <c r="L110" s="186">
        <f>+VLOOKUP($E110,[1]tb!$B$12:$AC$193,17,0)</f>
        <v>0</v>
      </c>
      <c r="M110" s="186">
        <f>+VLOOKUP($E110,[1]tb!$B$12:$AC$193,19,0)</f>
        <v>0</v>
      </c>
      <c r="N110" s="186">
        <f>+VLOOKUP($E110,[1]tb!$B$12:$AC$193,21,0)</f>
        <v>0</v>
      </c>
      <c r="O110" s="186">
        <f>+VLOOKUP($E110,[1]tb!$B$12:$AC$193,23,0)</f>
        <v>0</v>
      </c>
      <c r="P110" s="186">
        <f>+VLOOKUP($E110,[1]tb!$B$12:$AC$193,25,0)</f>
        <v>0</v>
      </c>
      <c r="Q110" s="186">
        <f>+VLOOKUP($E110,[1]tb!$B$12:$AC$193,27,0)</f>
        <v>0</v>
      </c>
      <c r="R110" s="186"/>
    </row>
    <row r="111" spans="1:18" hidden="1">
      <c r="D111" s="204" t="s">
        <v>316</v>
      </c>
      <c r="E111" s="206" t="s">
        <v>94</v>
      </c>
      <c r="F111" s="186">
        <f>+VLOOKUP($E111,[1]tb!$B$12:$AC$193,5,0)</f>
        <v>0</v>
      </c>
      <c r="G111" s="186">
        <f>+VLOOKUP($E111,[1]tb!$B$12:$AC$193,7,0)</f>
        <v>0</v>
      </c>
      <c r="H111" s="186">
        <f>+VLOOKUP($E111,[1]tb!$B$12:$AC$193,9,0)</f>
        <v>0</v>
      </c>
      <c r="I111" s="186">
        <f>+VLOOKUP($E111,[1]tb!$B$12:$AC$193,11,0)</f>
        <v>0</v>
      </c>
      <c r="J111" s="186">
        <f>+VLOOKUP($E111,[1]tb!$B$12:$AC$193,13,0)</f>
        <v>0</v>
      </c>
      <c r="K111" s="186">
        <f>+VLOOKUP($E111,[1]tb!$B$12:$AC$193,15,0)</f>
        <v>0</v>
      </c>
      <c r="L111" s="186">
        <f>+VLOOKUP($E111,[1]tb!$B$12:$AC$193,17,0)</f>
        <v>0</v>
      </c>
      <c r="M111" s="186">
        <f>+VLOOKUP($E111,[1]tb!$B$12:$AC$193,19,0)</f>
        <v>0</v>
      </c>
      <c r="N111" s="186">
        <f>+VLOOKUP($E111,[1]tb!$B$12:$AC$193,21,0)</f>
        <v>0</v>
      </c>
      <c r="O111" s="186">
        <f>+VLOOKUP($E111,[1]tb!$B$12:$AC$193,23,0)</f>
        <v>0</v>
      </c>
      <c r="P111" s="186">
        <f>+VLOOKUP($E111,[1]tb!$B$12:$AC$193,25,0)</f>
        <v>0</v>
      </c>
      <c r="Q111" s="186">
        <f>+VLOOKUP($E111,[1]tb!$B$12:$AC$193,27,0)</f>
        <v>0</v>
      </c>
      <c r="R111" s="186"/>
    </row>
    <row r="112" spans="1:18" ht="5.0999999999999996" hidden="1" customHeight="1"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1:18" hidden="1">
      <c r="C113" s="208" t="s">
        <v>319</v>
      </c>
      <c r="F113" s="209">
        <f>+SUM(F114:F115)</f>
        <v>53527.299999999988</v>
      </c>
      <c r="G113" s="209">
        <f>+SUM(G114:G115)</f>
        <v>275</v>
      </c>
      <c r="H113" s="209">
        <f t="shared" ref="H113:Q113" si="25">+SUM(H114:H115)</f>
        <v>274.99999999998545</v>
      </c>
      <c r="I113" s="209">
        <f t="shared" si="25"/>
        <v>274.99999999998545</v>
      </c>
      <c r="J113" s="209">
        <f t="shared" si="25"/>
        <v>274.99999999998545</v>
      </c>
      <c r="K113" s="209">
        <f t="shared" si="25"/>
        <v>274.99999999998545</v>
      </c>
      <c r="L113" s="209">
        <f t="shared" si="25"/>
        <v>274.99999999998545</v>
      </c>
      <c r="M113" s="209">
        <f t="shared" si="25"/>
        <v>274.99999999998545</v>
      </c>
      <c r="N113" s="209">
        <f t="shared" si="25"/>
        <v>274.99999999998545</v>
      </c>
      <c r="O113" s="209">
        <f t="shared" si="25"/>
        <v>274.99999999998545</v>
      </c>
      <c r="P113" s="209">
        <f t="shared" si="25"/>
        <v>274.99999999998545</v>
      </c>
      <c r="Q113" s="209">
        <f t="shared" si="25"/>
        <v>274.99999999998545</v>
      </c>
      <c r="R113" s="209"/>
    </row>
    <row r="114" spans="1:18" hidden="1">
      <c r="D114" s="204" t="s">
        <v>319</v>
      </c>
      <c r="E114" s="206" t="s">
        <v>97</v>
      </c>
      <c r="F114" s="186">
        <f>+VLOOKUP($E114,[1]tb!$B$12:$AC$193,5,0)</f>
        <v>53527.299999999988</v>
      </c>
      <c r="G114" s="186">
        <f>+VLOOKUP($E114,[1]tb!$B$12:$AC$193,7,0)</f>
        <v>275</v>
      </c>
      <c r="H114" s="186">
        <f>+VLOOKUP($E114,[1]tb!$B$12:$AC$193,9,0)</f>
        <v>274.99999999998545</v>
      </c>
      <c r="I114" s="186">
        <f>+VLOOKUP($E114,[1]tb!$B$12:$AC$193,11,0)</f>
        <v>274.99999999998545</v>
      </c>
      <c r="J114" s="186">
        <f>+VLOOKUP($E114,[1]tb!$B$12:$AC$193,13,0)</f>
        <v>274.99999999998545</v>
      </c>
      <c r="K114" s="186">
        <f>+VLOOKUP($E114,[1]tb!$B$12:$AC$193,15,0)</f>
        <v>274.99999999998545</v>
      </c>
      <c r="L114" s="186">
        <f>+VLOOKUP($E114,[1]tb!$B$12:$AC$193,17,0)</f>
        <v>274.99999999998545</v>
      </c>
      <c r="M114" s="186">
        <f>+VLOOKUP($E114,[1]tb!$B$12:$AC$193,19,0)</f>
        <v>274.99999999998545</v>
      </c>
      <c r="N114" s="186">
        <f>+VLOOKUP($E114,[1]tb!$B$12:$AC$193,21,0)</f>
        <v>274.99999999998545</v>
      </c>
      <c r="O114" s="186">
        <f>+VLOOKUP($E114,[1]tb!$B$12:$AC$193,23,0)</f>
        <v>274.99999999998545</v>
      </c>
      <c r="P114" s="186">
        <f>+VLOOKUP($E114,[1]tb!$B$12:$AC$193,25,0)</f>
        <v>274.99999999998545</v>
      </c>
      <c r="Q114" s="186">
        <f>+VLOOKUP($E114,[1]tb!$B$12:$AC$193,27,0)</f>
        <v>274.99999999998545</v>
      </c>
      <c r="R114" s="186"/>
    </row>
    <row r="115" spans="1:18" ht="5.0999999999999996" customHeight="1"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1:18">
      <c r="D116" s="210" t="s">
        <v>720</v>
      </c>
      <c r="F116" s="211">
        <f>+F113+F105+F101</f>
        <v>830135.89</v>
      </c>
      <c r="G116" s="211">
        <f>+G113+G105+G101</f>
        <v>785538.53</v>
      </c>
      <c r="H116" s="211">
        <f t="shared" ref="H116:Q116" si="26">+H113+H105+H101</f>
        <v>790376.41000000015</v>
      </c>
      <c r="I116" s="211">
        <f t="shared" si="26"/>
        <v>790376.41000000015</v>
      </c>
      <c r="J116" s="211">
        <f t="shared" si="26"/>
        <v>790376.41000000015</v>
      </c>
      <c r="K116" s="211">
        <f t="shared" si="26"/>
        <v>790376.41000000015</v>
      </c>
      <c r="L116" s="211">
        <f t="shared" si="26"/>
        <v>790376.41000000015</v>
      </c>
      <c r="M116" s="211">
        <f t="shared" si="26"/>
        <v>790376.41000000015</v>
      </c>
      <c r="N116" s="211">
        <f t="shared" si="26"/>
        <v>790376.41000000015</v>
      </c>
      <c r="O116" s="211">
        <f t="shared" si="26"/>
        <v>790376.41000000015</v>
      </c>
      <c r="P116" s="211">
        <f t="shared" si="26"/>
        <v>790376.41000000015</v>
      </c>
      <c r="Q116" s="211">
        <f t="shared" si="26"/>
        <v>790376.41000000015</v>
      </c>
      <c r="R116" s="211"/>
    </row>
    <row r="117" spans="1:18" ht="5.0999999999999996" customHeight="1"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1:18" hidden="1">
      <c r="B118" s="208" t="s">
        <v>721</v>
      </c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</row>
    <row r="119" spans="1:18" ht="5.0999999999999996" hidden="1" customHeight="1"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1:18" hidden="1">
      <c r="C120" s="208" t="s">
        <v>317</v>
      </c>
      <c r="F120" s="209">
        <f>+SUM(F121:F123)</f>
        <v>65771.63</v>
      </c>
      <c r="G120" s="209">
        <f>+SUM(G121:G123)</f>
        <v>65771.63</v>
      </c>
      <c r="H120" s="209">
        <f t="shared" ref="H120:Q120" si="27">+SUM(H121:H123)</f>
        <v>65771.63</v>
      </c>
      <c r="I120" s="209">
        <f t="shared" si="27"/>
        <v>65771.63</v>
      </c>
      <c r="J120" s="209">
        <f t="shared" si="27"/>
        <v>65771.63</v>
      </c>
      <c r="K120" s="209">
        <f t="shared" si="27"/>
        <v>65771.63</v>
      </c>
      <c r="L120" s="209">
        <f t="shared" si="27"/>
        <v>65771.63</v>
      </c>
      <c r="M120" s="209">
        <f t="shared" si="27"/>
        <v>65771.63</v>
      </c>
      <c r="N120" s="209">
        <f t="shared" si="27"/>
        <v>65771.63</v>
      </c>
      <c r="O120" s="209">
        <f t="shared" si="27"/>
        <v>65771.63</v>
      </c>
      <c r="P120" s="209">
        <f t="shared" si="27"/>
        <v>65771.63</v>
      </c>
      <c r="Q120" s="209">
        <f t="shared" si="27"/>
        <v>65771.63</v>
      </c>
      <c r="R120" s="209"/>
    </row>
    <row r="121" spans="1:18" hidden="1">
      <c r="D121" s="204" t="s">
        <v>317</v>
      </c>
      <c r="E121" s="206" t="s">
        <v>95</v>
      </c>
      <c r="F121" s="186">
        <f>+VLOOKUP($E121,[1]tb!$B$12:$AC$193,5,0)</f>
        <v>0</v>
      </c>
      <c r="G121" s="186">
        <f>+VLOOKUP($E121,[1]tb!$B$12:$AC$193,7,0)</f>
        <v>0</v>
      </c>
      <c r="H121" s="186">
        <f>+VLOOKUP($E121,[1]tb!$B$12:$AC$193,9,0)</f>
        <v>0</v>
      </c>
      <c r="I121" s="186">
        <f>+VLOOKUP($E121,[1]tb!$B$12:$AC$193,11,0)</f>
        <v>0</v>
      </c>
      <c r="J121" s="186">
        <f>+VLOOKUP($E121,[1]tb!$B$12:$AC$193,13,0)</f>
        <v>0</v>
      </c>
      <c r="K121" s="186">
        <f>+VLOOKUP($E121,[1]tb!$B$12:$AC$193,15,0)</f>
        <v>0</v>
      </c>
      <c r="L121" s="186">
        <f>+VLOOKUP($E121,[1]tb!$B$12:$AC$193,17,0)</f>
        <v>0</v>
      </c>
      <c r="M121" s="186">
        <f>+VLOOKUP($E121,[1]tb!$B$12:$AC$193,19,0)</f>
        <v>0</v>
      </c>
      <c r="N121" s="186">
        <f>+VLOOKUP($E121,[1]tb!$B$12:$AC$193,21,0)</f>
        <v>0</v>
      </c>
      <c r="O121" s="186">
        <f>+VLOOKUP($E121,[1]tb!$B$12:$AC$193,23,0)</f>
        <v>0</v>
      </c>
      <c r="P121" s="186">
        <f>+VLOOKUP($E121,[1]tb!$B$12:$AC$193,25,0)</f>
        <v>0</v>
      </c>
      <c r="Q121" s="186">
        <f>+VLOOKUP($E121,[1]tb!$B$12:$AC$193,27,0)</f>
        <v>0</v>
      </c>
      <c r="R121" s="186"/>
    </row>
    <row r="122" spans="1:18" hidden="1">
      <c r="D122" s="204" t="s">
        <v>318</v>
      </c>
      <c r="E122" s="206" t="s">
        <v>96</v>
      </c>
      <c r="F122" s="186">
        <f>+VLOOKUP($E122,[1]tb!$B$12:$AC$193,5,0)</f>
        <v>65771.63</v>
      </c>
      <c r="G122" s="186">
        <f>+VLOOKUP($E122,[1]tb!$B$12:$AC$193,7,0)</f>
        <v>65771.63</v>
      </c>
      <c r="H122" s="186">
        <f>+VLOOKUP($E122,[1]tb!$B$12:$AC$193,9,0)</f>
        <v>65771.63</v>
      </c>
      <c r="I122" s="186">
        <f>+VLOOKUP($E122,[1]tb!$B$12:$AC$193,11,0)</f>
        <v>65771.63</v>
      </c>
      <c r="J122" s="186">
        <f>+VLOOKUP($E122,[1]tb!$B$12:$AC$193,13,0)</f>
        <v>65771.63</v>
      </c>
      <c r="K122" s="186">
        <f>+VLOOKUP($E122,[1]tb!$B$12:$AC$193,15,0)</f>
        <v>65771.63</v>
      </c>
      <c r="L122" s="186">
        <f>+VLOOKUP($E122,[1]tb!$B$12:$AC$193,17,0)</f>
        <v>65771.63</v>
      </c>
      <c r="M122" s="186">
        <f>+VLOOKUP($E122,[1]tb!$B$12:$AC$193,19,0)</f>
        <v>65771.63</v>
      </c>
      <c r="N122" s="186">
        <f>+VLOOKUP($E122,[1]tb!$B$12:$AC$193,21,0)</f>
        <v>65771.63</v>
      </c>
      <c r="O122" s="186">
        <f>+VLOOKUP($E122,[1]tb!$B$12:$AC$193,23,0)</f>
        <v>65771.63</v>
      </c>
      <c r="P122" s="186">
        <f>+VLOOKUP($E122,[1]tb!$B$12:$AC$193,25,0)</f>
        <v>65771.63</v>
      </c>
      <c r="Q122" s="186">
        <f>+VLOOKUP($E122,[1]tb!$B$12:$AC$193,27,0)</f>
        <v>65771.63</v>
      </c>
      <c r="R122" s="186"/>
    </row>
    <row r="123" spans="1:18" ht="5.0999999999999996" hidden="1" customHeight="1"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1:18" hidden="1">
      <c r="D124" s="210" t="s">
        <v>722</v>
      </c>
      <c r="F124" s="211">
        <f>+F120</f>
        <v>65771.63</v>
      </c>
      <c r="G124" s="211">
        <f>+G120</f>
        <v>65771.63</v>
      </c>
      <c r="H124" s="211">
        <f t="shared" ref="H124:Q124" si="28">+H120</f>
        <v>65771.63</v>
      </c>
      <c r="I124" s="211">
        <f t="shared" si="28"/>
        <v>65771.63</v>
      </c>
      <c r="J124" s="211">
        <f t="shared" si="28"/>
        <v>65771.63</v>
      </c>
      <c r="K124" s="211">
        <f t="shared" si="28"/>
        <v>65771.63</v>
      </c>
      <c r="L124" s="211">
        <f t="shared" si="28"/>
        <v>65771.63</v>
      </c>
      <c r="M124" s="211">
        <f t="shared" si="28"/>
        <v>65771.63</v>
      </c>
      <c r="N124" s="211">
        <f t="shared" si="28"/>
        <v>65771.63</v>
      </c>
      <c r="O124" s="211">
        <f t="shared" si="28"/>
        <v>65771.63</v>
      </c>
      <c r="P124" s="211">
        <f t="shared" si="28"/>
        <v>65771.63</v>
      </c>
      <c r="Q124" s="211">
        <f t="shared" si="28"/>
        <v>65771.63</v>
      </c>
      <c r="R124" s="211"/>
    </row>
    <row r="125" spans="1:18" ht="5.0999999999999996" hidden="1" customHeight="1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1:18" hidden="1">
      <c r="D126" s="210" t="s">
        <v>723</v>
      </c>
      <c r="F126" s="209">
        <f>+F124+F116</f>
        <v>895907.52</v>
      </c>
      <c r="G126" s="209">
        <f>+G124+G116</f>
        <v>851310.16</v>
      </c>
      <c r="H126" s="209">
        <f t="shared" ref="H126:Q126" si="29">+H124+H116</f>
        <v>856148.04000000015</v>
      </c>
      <c r="I126" s="209">
        <f t="shared" si="29"/>
        <v>856148.04000000015</v>
      </c>
      <c r="J126" s="209">
        <f t="shared" si="29"/>
        <v>856148.04000000015</v>
      </c>
      <c r="K126" s="209">
        <f t="shared" si="29"/>
        <v>856148.04000000015</v>
      </c>
      <c r="L126" s="209">
        <f t="shared" si="29"/>
        <v>856148.04000000015</v>
      </c>
      <c r="M126" s="209">
        <f t="shared" si="29"/>
        <v>856148.04000000015</v>
      </c>
      <c r="N126" s="209">
        <f t="shared" si="29"/>
        <v>856148.04000000015</v>
      </c>
      <c r="O126" s="209">
        <f t="shared" si="29"/>
        <v>856148.04000000015</v>
      </c>
      <c r="P126" s="209">
        <f t="shared" si="29"/>
        <v>856148.04000000015</v>
      </c>
      <c r="Q126" s="209">
        <f t="shared" si="29"/>
        <v>856148.04000000015</v>
      </c>
      <c r="R126" s="209"/>
    </row>
    <row r="127" spans="1:18" ht="5.0999999999999996" hidden="1" customHeight="1"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1:18">
      <c r="A128" s="208" t="s">
        <v>724</v>
      </c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>
        <f t="shared" ref="R128" si="30">+Q128</f>
        <v>0</v>
      </c>
    </row>
    <row r="129" spans="4:19" s="216" customFormat="1">
      <c r="D129" s="216" t="s">
        <v>320</v>
      </c>
      <c r="E129" s="217" t="s">
        <v>98</v>
      </c>
      <c r="F129" s="218">
        <f>+VLOOKUP($E129,[1]tb!$B$12:$AC$193,5,0)</f>
        <v>29148759.349999998</v>
      </c>
      <c r="G129" s="218">
        <f>+VLOOKUP($E129,[1]tb!$B$12:$AC$193,7,0)</f>
        <v>29159126.679999996</v>
      </c>
      <c r="H129" s="218">
        <f>+VLOOKUP($E129,[1]tb!$B$12:$AC$193,9,0)</f>
        <v>29190438.419999998</v>
      </c>
      <c r="I129" s="218">
        <f>+VLOOKUP($E129,[1]tb!$B$12:$AC$193,11,0)</f>
        <v>29190438.419999998</v>
      </c>
      <c r="J129" s="218">
        <f>+VLOOKUP($E129,[1]tb!$B$12:$AC$193,13,0)</f>
        <v>29190438.419999998</v>
      </c>
      <c r="K129" s="218">
        <f>+VLOOKUP($E129,[1]tb!$B$12:$AC$193,15,0)</f>
        <v>29190438.419999998</v>
      </c>
      <c r="L129" s="218">
        <f>+VLOOKUP($E129,[1]tb!$B$12:$AC$193,17,0)</f>
        <v>29190438.419999998</v>
      </c>
      <c r="M129" s="218">
        <f>+VLOOKUP($E129,[1]tb!$B$12:$AC$193,19,0)</f>
        <v>29190438.419999998</v>
      </c>
      <c r="N129" s="218">
        <f>+VLOOKUP($E129,[1]tb!$B$12:$AC$193,21,0)</f>
        <v>29190438.419999998</v>
      </c>
      <c r="O129" s="218">
        <f>+VLOOKUP($E129,[1]tb!$B$12:$AC$193,23,0)</f>
        <v>29190438.419999998</v>
      </c>
      <c r="P129" s="218">
        <f>+VLOOKUP($E129,[1]tb!$B$12:$AC$193,25,0)</f>
        <v>29190438.419999998</v>
      </c>
      <c r="Q129" s="218">
        <f>+VLOOKUP($E129,[1]tb!$B$12:$AC$193,27,0)</f>
        <v>29190438.419999998</v>
      </c>
      <c r="R129" s="218">
        <v>16019</v>
      </c>
    </row>
    <row r="130" spans="4:19" ht="5.0999999999999996" customHeight="1"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4:19">
      <c r="D131" s="210" t="s">
        <v>725</v>
      </c>
      <c r="F131" s="209">
        <f>+F129</f>
        <v>29148759.349999998</v>
      </c>
      <c r="G131" s="209">
        <f>+G129</f>
        <v>29159126.679999996</v>
      </c>
      <c r="H131" s="209">
        <f t="shared" ref="H131:Q131" si="31">+H129</f>
        <v>29190438.419999998</v>
      </c>
      <c r="I131" s="209">
        <f t="shared" si="31"/>
        <v>29190438.419999998</v>
      </c>
      <c r="J131" s="209">
        <f t="shared" si="31"/>
        <v>29190438.419999998</v>
      </c>
      <c r="K131" s="209">
        <f t="shared" si="31"/>
        <v>29190438.419999998</v>
      </c>
      <c r="L131" s="209">
        <f t="shared" si="31"/>
        <v>29190438.419999998</v>
      </c>
      <c r="M131" s="209">
        <f t="shared" si="31"/>
        <v>29190438.419999998</v>
      </c>
      <c r="N131" s="209">
        <f t="shared" si="31"/>
        <v>29190438.419999998</v>
      </c>
      <c r="O131" s="209">
        <f t="shared" si="31"/>
        <v>29190438.419999998</v>
      </c>
      <c r="P131" s="209">
        <f t="shared" si="31"/>
        <v>29190438.419999998</v>
      </c>
      <c r="Q131" s="209">
        <f t="shared" si="31"/>
        <v>29190438.419999998</v>
      </c>
      <c r="R131" s="209">
        <f>R129</f>
        <v>16019</v>
      </c>
    </row>
    <row r="132" spans="4:19" ht="5.0999999999999996" customHeight="1"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4:19" ht="12.75" thickBot="1">
      <c r="D133" s="210" t="s">
        <v>726</v>
      </c>
      <c r="F133" s="214">
        <f>+F131+F126</f>
        <v>30044666.869999997</v>
      </c>
      <c r="G133" s="214">
        <f>+G131+G126</f>
        <v>30010436.839999996</v>
      </c>
      <c r="H133" s="214">
        <f t="shared" ref="H133:Q133" si="32">+H131+H126</f>
        <v>30046586.459999997</v>
      </c>
      <c r="I133" s="214">
        <f t="shared" si="32"/>
        <v>30046586.459999997</v>
      </c>
      <c r="J133" s="214">
        <f t="shared" si="32"/>
        <v>30046586.459999997</v>
      </c>
      <c r="K133" s="214">
        <f t="shared" si="32"/>
        <v>30046586.459999997</v>
      </c>
      <c r="L133" s="214">
        <f t="shared" si="32"/>
        <v>30046586.459999997</v>
      </c>
      <c r="M133" s="214">
        <f t="shared" si="32"/>
        <v>30046586.459999997</v>
      </c>
      <c r="N133" s="214">
        <f t="shared" si="32"/>
        <v>30046586.459999997</v>
      </c>
      <c r="O133" s="214">
        <f t="shared" si="32"/>
        <v>30046586.459999997</v>
      </c>
      <c r="P133" s="214">
        <f t="shared" si="32"/>
        <v>30046586.459999997</v>
      </c>
      <c r="Q133" s="214">
        <f t="shared" si="32"/>
        <v>30046586.459999997</v>
      </c>
      <c r="R133" s="214">
        <f>R131+R126</f>
        <v>16019</v>
      </c>
    </row>
    <row r="134" spans="4:19" ht="12.75" thickTop="1"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  <c r="S134" s="215"/>
    </row>
    <row r="135" spans="4:19"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  <c r="S135" s="215"/>
    </row>
    <row r="136" spans="4:19">
      <c r="D136" s="259" t="s">
        <v>506</v>
      </c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  <c r="S136" s="215"/>
    </row>
    <row r="137" spans="4:19">
      <c r="D137" s="259"/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  <c r="S137" s="215"/>
    </row>
    <row r="138" spans="4:19">
      <c r="D138" s="259"/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4:19">
      <c r="D139" s="210" t="s">
        <v>507</v>
      </c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4:19">
      <c r="D140" s="259" t="s">
        <v>508</v>
      </c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4:19"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4:19"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4:19"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4:19"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6:18"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6:18"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  <row r="147" spans="6:18">
      <c r="F147" s="186"/>
      <c r="G147" s="186"/>
      <c r="H147" s="186"/>
      <c r="I147" s="186"/>
      <c r="J147" s="186"/>
      <c r="K147" s="186"/>
      <c r="L147" s="186"/>
      <c r="M147" s="186"/>
      <c r="N147" s="186"/>
      <c r="O147" s="186"/>
      <c r="P147" s="186"/>
      <c r="Q147" s="186"/>
      <c r="R147" s="186"/>
    </row>
    <row r="148" spans="6:18">
      <c r="F148" s="186"/>
      <c r="G148" s="186"/>
      <c r="H148" s="186"/>
      <c r="I148" s="186"/>
      <c r="J148" s="186"/>
      <c r="K148" s="186"/>
      <c r="L148" s="186"/>
      <c r="M148" s="186"/>
      <c r="N148" s="186"/>
      <c r="O148" s="186"/>
      <c r="P148" s="186"/>
      <c r="Q148" s="186"/>
      <c r="R148" s="186"/>
    </row>
    <row r="149" spans="6:18"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</row>
    <row r="150" spans="6:18">
      <c r="F150" s="186"/>
      <c r="G150" s="186"/>
      <c r="H150" s="186"/>
      <c r="I150" s="186"/>
      <c r="J150" s="186"/>
      <c r="K150" s="186"/>
      <c r="L150" s="186"/>
      <c r="M150" s="186"/>
      <c r="N150" s="186"/>
      <c r="O150" s="186"/>
      <c r="P150" s="186"/>
      <c r="Q150" s="186"/>
      <c r="R150" s="186"/>
    </row>
    <row r="151" spans="6:18">
      <c r="F151" s="186"/>
      <c r="G151" s="186"/>
      <c r="H151" s="186"/>
      <c r="I151" s="186"/>
      <c r="J151" s="186"/>
      <c r="K151" s="186"/>
      <c r="L151" s="186"/>
      <c r="M151" s="186"/>
      <c r="N151" s="186"/>
      <c r="O151" s="186"/>
      <c r="P151" s="186"/>
      <c r="Q151" s="186"/>
      <c r="R151" s="186"/>
    </row>
    <row r="152" spans="6:18"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</row>
    <row r="153" spans="6:18">
      <c r="F153" s="186"/>
      <c r="G153" s="186"/>
      <c r="H153" s="186"/>
      <c r="I153" s="186"/>
      <c r="J153" s="186"/>
      <c r="K153" s="186"/>
      <c r="L153" s="186"/>
      <c r="M153" s="186"/>
      <c r="N153" s="186"/>
      <c r="O153" s="186"/>
      <c r="P153" s="186"/>
      <c r="Q153" s="186"/>
      <c r="R153" s="186"/>
    </row>
    <row r="154" spans="6:18">
      <c r="F154" s="186"/>
      <c r="G154" s="186"/>
      <c r="H154" s="186"/>
      <c r="I154" s="186"/>
      <c r="J154" s="186"/>
      <c r="K154" s="186"/>
      <c r="L154" s="186"/>
      <c r="M154" s="186"/>
      <c r="N154" s="186"/>
      <c r="O154" s="186"/>
      <c r="P154" s="186"/>
      <c r="Q154" s="186"/>
      <c r="R154" s="186"/>
    </row>
    <row r="155" spans="6:18">
      <c r="F155" s="186"/>
      <c r="G155" s="186"/>
      <c r="H155" s="186"/>
      <c r="I155" s="186"/>
      <c r="J155" s="186"/>
      <c r="K155" s="186"/>
      <c r="L155" s="186"/>
      <c r="M155" s="186"/>
      <c r="N155" s="186"/>
      <c r="O155" s="186"/>
      <c r="P155" s="186"/>
      <c r="Q155" s="186"/>
      <c r="R155" s="186"/>
    </row>
    <row r="156" spans="6:18">
      <c r="F156" s="186"/>
      <c r="G156" s="186"/>
      <c r="H156" s="186"/>
      <c r="I156" s="186"/>
      <c r="J156" s="186"/>
      <c r="K156" s="186"/>
      <c r="L156" s="186"/>
      <c r="M156" s="186"/>
      <c r="N156" s="186"/>
      <c r="O156" s="186"/>
      <c r="P156" s="186"/>
      <c r="Q156" s="186"/>
      <c r="R156" s="186"/>
    </row>
    <row r="157" spans="6:18">
      <c r="F157" s="186"/>
      <c r="G157" s="186"/>
      <c r="H157" s="186"/>
      <c r="I157" s="186"/>
      <c r="J157" s="186"/>
      <c r="K157" s="186"/>
      <c r="L157" s="186"/>
      <c r="M157" s="186"/>
      <c r="N157" s="186"/>
      <c r="O157" s="186"/>
      <c r="P157" s="186"/>
      <c r="Q157" s="186"/>
      <c r="R157" s="186"/>
    </row>
    <row r="158" spans="6:18">
      <c r="F158" s="186"/>
      <c r="G158" s="186"/>
      <c r="H158" s="186"/>
      <c r="I158" s="186"/>
      <c r="J158" s="186"/>
      <c r="K158" s="186"/>
      <c r="L158" s="186"/>
      <c r="M158" s="186"/>
      <c r="N158" s="186"/>
      <c r="O158" s="186"/>
      <c r="P158" s="186"/>
      <c r="Q158" s="186"/>
      <c r="R158" s="186"/>
    </row>
    <row r="159" spans="6:18">
      <c r="F159" s="186"/>
      <c r="G159" s="186"/>
      <c r="H159" s="186"/>
      <c r="I159" s="186"/>
      <c r="J159" s="186"/>
      <c r="K159" s="186"/>
      <c r="L159" s="186"/>
      <c r="M159" s="186"/>
      <c r="N159" s="186"/>
      <c r="O159" s="186"/>
      <c r="P159" s="186"/>
      <c r="Q159" s="186"/>
      <c r="R159" s="186"/>
    </row>
    <row r="160" spans="6:18">
      <c r="F160" s="186"/>
      <c r="G160" s="186"/>
      <c r="H160" s="186"/>
      <c r="I160" s="186"/>
      <c r="J160" s="186"/>
      <c r="K160" s="186"/>
      <c r="L160" s="186"/>
      <c r="M160" s="186"/>
      <c r="N160" s="186"/>
      <c r="O160" s="186"/>
      <c r="P160" s="186"/>
      <c r="Q160" s="186"/>
      <c r="R160" s="186"/>
    </row>
    <row r="161" spans="6:18">
      <c r="F161" s="186"/>
      <c r="G161" s="186"/>
      <c r="H161" s="186"/>
      <c r="I161" s="186"/>
      <c r="J161" s="186"/>
      <c r="K161" s="186"/>
      <c r="L161" s="186"/>
      <c r="M161" s="186"/>
      <c r="N161" s="186"/>
      <c r="O161" s="186"/>
      <c r="P161" s="186"/>
      <c r="Q161" s="186"/>
      <c r="R161" s="186"/>
    </row>
    <row r="162" spans="6:18">
      <c r="F162" s="186"/>
      <c r="G162" s="186"/>
      <c r="H162" s="186"/>
      <c r="I162" s="186"/>
      <c r="J162" s="186"/>
      <c r="K162" s="186"/>
      <c r="L162" s="186"/>
      <c r="M162" s="186"/>
      <c r="N162" s="186"/>
      <c r="O162" s="186"/>
      <c r="P162" s="186"/>
      <c r="Q162" s="186"/>
      <c r="R162" s="186"/>
    </row>
    <row r="163" spans="6:18">
      <c r="F163" s="186"/>
      <c r="G163" s="186"/>
      <c r="H163" s="186"/>
      <c r="I163" s="186"/>
      <c r="J163" s="186"/>
      <c r="K163" s="186"/>
      <c r="L163" s="186"/>
      <c r="M163" s="186"/>
      <c r="N163" s="186"/>
      <c r="O163" s="186"/>
      <c r="P163" s="186"/>
      <c r="Q163" s="186"/>
      <c r="R163" s="186"/>
    </row>
    <row r="164" spans="6:18">
      <c r="F164" s="186"/>
      <c r="G164" s="186"/>
      <c r="H164" s="186"/>
      <c r="I164" s="186"/>
      <c r="J164" s="186"/>
      <c r="K164" s="186"/>
      <c r="L164" s="186"/>
      <c r="M164" s="186"/>
      <c r="N164" s="186"/>
      <c r="O164" s="186"/>
      <c r="P164" s="186"/>
      <c r="Q164" s="186"/>
      <c r="R164" s="186"/>
    </row>
    <row r="165" spans="6:18">
      <c r="F165" s="186"/>
      <c r="G165" s="186"/>
      <c r="H165" s="186"/>
      <c r="I165" s="186"/>
      <c r="J165" s="186"/>
      <c r="K165" s="186"/>
      <c r="L165" s="186"/>
      <c r="M165" s="186"/>
      <c r="N165" s="186"/>
      <c r="O165" s="186"/>
      <c r="P165" s="186"/>
      <c r="Q165" s="186"/>
      <c r="R165" s="186"/>
    </row>
    <row r="166" spans="6:18">
      <c r="F166" s="186"/>
      <c r="G166" s="186"/>
      <c r="H166" s="186"/>
      <c r="I166" s="186"/>
      <c r="J166" s="186"/>
      <c r="K166" s="186"/>
      <c r="L166" s="186"/>
      <c r="M166" s="186"/>
      <c r="N166" s="186"/>
      <c r="O166" s="186"/>
      <c r="P166" s="186"/>
      <c r="Q166" s="186"/>
      <c r="R166" s="186"/>
    </row>
    <row r="167" spans="6:18">
      <c r="F167" s="186"/>
      <c r="G167" s="186"/>
      <c r="H167" s="186"/>
      <c r="I167" s="186"/>
      <c r="J167" s="186"/>
      <c r="K167" s="186"/>
      <c r="L167" s="186"/>
      <c r="M167" s="186"/>
      <c r="N167" s="186"/>
      <c r="O167" s="186"/>
      <c r="P167" s="186"/>
      <c r="Q167" s="186"/>
      <c r="R167" s="186"/>
    </row>
    <row r="168" spans="6:18">
      <c r="F168" s="186"/>
      <c r="G168" s="186"/>
      <c r="H168" s="186"/>
      <c r="I168" s="186"/>
      <c r="J168" s="186"/>
      <c r="K168" s="186"/>
      <c r="L168" s="186"/>
      <c r="M168" s="186"/>
      <c r="N168" s="186"/>
      <c r="O168" s="186"/>
      <c r="P168" s="186"/>
      <c r="Q168" s="186"/>
      <c r="R168" s="186"/>
    </row>
    <row r="169" spans="6:18">
      <c r="F169" s="186"/>
      <c r="G169" s="186"/>
      <c r="H169" s="186"/>
      <c r="I169" s="186"/>
      <c r="J169" s="186"/>
      <c r="K169" s="186"/>
      <c r="L169" s="186"/>
      <c r="M169" s="186"/>
      <c r="N169" s="186"/>
      <c r="O169" s="186"/>
      <c r="P169" s="186"/>
      <c r="Q169" s="186"/>
      <c r="R169" s="186"/>
    </row>
    <row r="170" spans="6:18">
      <c r="F170" s="186"/>
      <c r="G170" s="186"/>
      <c r="H170" s="186"/>
      <c r="I170" s="186"/>
      <c r="J170" s="186"/>
      <c r="K170" s="186"/>
      <c r="L170" s="186"/>
      <c r="M170" s="186"/>
      <c r="N170" s="186"/>
      <c r="O170" s="186"/>
      <c r="P170" s="186"/>
      <c r="Q170" s="186"/>
      <c r="R170" s="186"/>
    </row>
    <row r="171" spans="6:18">
      <c r="F171" s="186"/>
      <c r="G171" s="186"/>
      <c r="H171" s="186"/>
      <c r="I171" s="186"/>
      <c r="J171" s="186"/>
      <c r="K171" s="186"/>
      <c r="L171" s="186"/>
      <c r="M171" s="186"/>
      <c r="N171" s="186"/>
      <c r="O171" s="186"/>
      <c r="P171" s="186"/>
      <c r="Q171" s="186"/>
      <c r="R171" s="186"/>
    </row>
    <row r="172" spans="6:18">
      <c r="F172" s="186"/>
      <c r="G172" s="186"/>
      <c r="H172" s="186"/>
      <c r="I172" s="186"/>
      <c r="J172" s="186"/>
      <c r="K172" s="186"/>
      <c r="L172" s="186"/>
      <c r="M172" s="186"/>
      <c r="N172" s="186"/>
      <c r="O172" s="186"/>
      <c r="P172" s="186"/>
      <c r="Q172" s="186"/>
      <c r="R172" s="186"/>
    </row>
    <row r="173" spans="6:18">
      <c r="F173" s="186"/>
      <c r="G173" s="186"/>
      <c r="H173" s="186"/>
      <c r="I173" s="186"/>
      <c r="J173" s="186"/>
      <c r="K173" s="186"/>
      <c r="L173" s="186"/>
      <c r="M173" s="186"/>
      <c r="N173" s="186"/>
      <c r="O173" s="186"/>
      <c r="P173" s="186"/>
      <c r="Q173" s="186"/>
      <c r="R173" s="186"/>
    </row>
    <row r="174" spans="6:18">
      <c r="F174" s="186"/>
      <c r="G174" s="186"/>
      <c r="H174" s="186"/>
      <c r="I174" s="186"/>
      <c r="J174" s="186"/>
      <c r="K174" s="186"/>
      <c r="L174" s="186"/>
      <c r="M174" s="186"/>
      <c r="N174" s="186"/>
      <c r="O174" s="186"/>
      <c r="P174" s="186"/>
      <c r="Q174" s="186"/>
      <c r="R174" s="186"/>
    </row>
    <row r="175" spans="6:18">
      <c r="F175" s="186"/>
      <c r="G175" s="186"/>
      <c r="H175" s="186"/>
      <c r="I175" s="186"/>
      <c r="J175" s="186"/>
      <c r="K175" s="186"/>
      <c r="L175" s="186"/>
      <c r="M175" s="186"/>
      <c r="N175" s="186"/>
      <c r="O175" s="186"/>
      <c r="P175" s="186"/>
      <c r="Q175" s="186"/>
      <c r="R175" s="186"/>
    </row>
    <row r="176" spans="6:18">
      <c r="F176" s="186"/>
      <c r="G176" s="186"/>
      <c r="H176" s="186"/>
      <c r="I176" s="186"/>
      <c r="J176" s="186"/>
      <c r="K176" s="186"/>
      <c r="L176" s="186"/>
      <c r="M176" s="186"/>
      <c r="N176" s="186"/>
      <c r="O176" s="186"/>
      <c r="P176" s="186"/>
      <c r="Q176" s="186"/>
      <c r="R176" s="186"/>
    </row>
    <row r="177" spans="6:18"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</row>
    <row r="178" spans="6:18">
      <c r="F178" s="186"/>
      <c r="G178" s="186"/>
      <c r="H178" s="186"/>
      <c r="I178" s="186"/>
      <c r="J178" s="186"/>
      <c r="K178" s="186"/>
      <c r="L178" s="186"/>
      <c r="M178" s="186"/>
      <c r="N178" s="186"/>
      <c r="O178" s="186"/>
      <c r="P178" s="186"/>
      <c r="Q178" s="186"/>
      <c r="R178" s="186"/>
    </row>
    <row r="179" spans="6:18">
      <c r="F179" s="186"/>
      <c r="G179" s="186"/>
      <c r="H179" s="186"/>
      <c r="I179" s="186"/>
      <c r="J179" s="186"/>
      <c r="K179" s="186"/>
      <c r="L179" s="186"/>
      <c r="M179" s="186"/>
      <c r="N179" s="186"/>
      <c r="O179" s="186"/>
      <c r="P179" s="186"/>
      <c r="Q179" s="186"/>
      <c r="R179" s="186"/>
    </row>
    <row r="180" spans="6:18">
      <c r="F180" s="186"/>
      <c r="G180" s="186"/>
      <c r="H180" s="186"/>
      <c r="I180" s="186"/>
      <c r="J180" s="186"/>
      <c r="K180" s="186"/>
      <c r="L180" s="186"/>
      <c r="M180" s="186"/>
      <c r="N180" s="186"/>
      <c r="O180" s="186"/>
      <c r="P180" s="186"/>
      <c r="Q180" s="186"/>
      <c r="R180" s="186"/>
    </row>
    <row r="181" spans="6:18">
      <c r="F181" s="186"/>
      <c r="G181" s="186"/>
      <c r="H181" s="186"/>
      <c r="I181" s="186"/>
      <c r="J181" s="186"/>
      <c r="K181" s="186"/>
      <c r="L181" s="186"/>
      <c r="M181" s="186"/>
      <c r="N181" s="186"/>
      <c r="O181" s="186"/>
      <c r="P181" s="186"/>
      <c r="Q181" s="186"/>
      <c r="R181" s="186"/>
    </row>
    <row r="182" spans="6:18">
      <c r="F182" s="186"/>
      <c r="G182" s="186"/>
      <c r="H182" s="186"/>
      <c r="I182" s="186"/>
      <c r="J182" s="186"/>
      <c r="K182" s="186"/>
      <c r="L182" s="186"/>
      <c r="M182" s="186"/>
      <c r="N182" s="186"/>
      <c r="O182" s="186"/>
      <c r="P182" s="186"/>
      <c r="Q182" s="186"/>
      <c r="R182" s="186"/>
    </row>
    <row r="183" spans="6:18">
      <c r="F183" s="186"/>
      <c r="G183" s="186"/>
      <c r="H183" s="186"/>
      <c r="I183" s="186"/>
      <c r="J183" s="186"/>
      <c r="K183" s="186"/>
      <c r="L183" s="186"/>
      <c r="M183" s="186"/>
      <c r="N183" s="186"/>
      <c r="O183" s="186"/>
      <c r="P183" s="186"/>
      <c r="Q183" s="186"/>
      <c r="R183" s="186"/>
    </row>
    <row r="184" spans="6:18">
      <c r="F184" s="186"/>
      <c r="G184" s="186"/>
      <c r="H184" s="186"/>
      <c r="I184" s="186"/>
      <c r="J184" s="186"/>
      <c r="K184" s="186"/>
      <c r="L184" s="186"/>
      <c r="M184" s="186"/>
      <c r="N184" s="186"/>
      <c r="O184" s="186"/>
      <c r="P184" s="186"/>
      <c r="Q184" s="186"/>
      <c r="R184" s="186"/>
    </row>
    <row r="185" spans="6:18">
      <c r="F185" s="186"/>
      <c r="G185" s="186"/>
      <c r="H185" s="186"/>
      <c r="I185" s="186"/>
      <c r="J185" s="186"/>
      <c r="K185" s="186"/>
      <c r="L185" s="186"/>
      <c r="M185" s="186"/>
      <c r="N185" s="186"/>
      <c r="O185" s="186"/>
      <c r="P185" s="186"/>
      <c r="Q185" s="186"/>
      <c r="R185" s="186"/>
    </row>
    <row r="186" spans="6:18">
      <c r="F186" s="186"/>
      <c r="G186" s="186"/>
      <c r="H186" s="186"/>
      <c r="I186" s="186"/>
      <c r="J186" s="186"/>
      <c r="K186" s="186"/>
      <c r="L186" s="186"/>
      <c r="M186" s="186"/>
      <c r="N186" s="186"/>
      <c r="O186" s="186"/>
      <c r="P186" s="186"/>
      <c r="Q186" s="186"/>
      <c r="R186" s="186"/>
    </row>
    <row r="187" spans="6:18">
      <c r="F187" s="186"/>
      <c r="G187" s="186"/>
      <c r="H187" s="186"/>
      <c r="I187" s="186"/>
      <c r="J187" s="186"/>
      <c r="K187" s="186"/>
      <c r="L187" s="186"/>
      <c r="M187" s="186"/>
      <c r="N187" s="186"/>
      <c r="O187" s="186"/>
      <c r="P187" s="186"/>
      <c r="Q187" s="186"/>
      <c r="R187" s="186"/>
    </row>
    <row r="188" spans="6:18">
      <c r="F188" s="186"/>
      <c r="G188" s="186"/>
      <c r="H188" s="186"/>
      <c r="I188" s="186"/>
      <c r="J188" s="186"/>
      <c r="K188" s="186"/>
      <c r="L188" s="186"/>
      <c r="M188" s="186"/>
      <c r="N188" s="186"/>
      <c r="O188" s="186"/>
      <c r="P188" s="186"/>
      <c r="Q188" s="186"/>
      <c r="R188" s="186"/>
    </row>
    <row r="189" spans="6:18">
      <c r="F189" s="186"/>
      <c r="G189" s="186"/>
      <c r="H189" s="186"/>
      <c r="I189" s="186"/>
      <c r="J189" s="186"/>
      <c r="K189" s="186"/>
      <c r="L189" s="186"/>
      <c r="M189" s="186"/>
      <c r="N189" s="186"/>
      <c r="O189" s="186"/>
      <c r="P189" s="186"/>
      <c r="Q189" s="186"/>
      <c r="R189" s="186"/>
    </row>
    <row r="190" spans="6:18">
      <c r="F190" s="186"/>
      <c r="G190" s="186"/>
      <c r="H190" s="186"/>
      <c r="I190" s="186"/>
      <c r="J190" s="186"/>
      <c r="K190" s="186"/>
      <c r="L190" s="186"/>
      <c r="M190" s="186"/>
      <c r="N190" s="186"/>
      <c r="O190" s="186"/>
      <c r="P190" s="186"/>
      <c r="Q190" s="186"/>
      <c r="R190" s="186"/>
    </row>
    <row r="191" spans="6:18">
      <c r="F191" s="186"/>
      <c r="G191" s="186"/>
      <c r="H191" s="186"/>
      <c r="I191" s="186"/>
      <c r="J191" s="186"/>
      <c r="K191" s="186"/>
      <c r="L191" s="186"/>
      <c r="M191" s="186"/>
      <c r="N191" s="186"/>
      <c r="O191" s="186"/>
      <c r="P191" s="186"/>
      <c r="Q191" s="186"/>
      <c r="R191" s="186"/>
    </row>
    <row r="192" spans="6:18">
      <c r="F192" s="186"/>
      <c r="G192" s="186"/>
      <c r="H192" s="186"/>
      <c r="I192" s="186"/>
      <c r="J192" s="186"/>
      <c r="K192" s="186"/>
      <c r="L192" s="186"/>
      <c r="M192" s="186"/>
      <c r="N192" s="186"/>
      <c r="O192" s="186"/>
      <c r="P192" s="186"/>
      <c r="Q192" s="186"/>
      <c r="R192" s="186"/>
    </row>
    <row r="193" spans="6:18">
      <c r="F193" s="186"/>
      <c r="G193" s="186"/>
      <c r="H193" s="186"/>
      <c r="I193" s="186"/>
      <c r="J193" s="186"/>
      <c r="K193" s="186"/>
      <c r="L193" s="186"/>
      <c r="M193" s="186"/>
      <c r="N193" s="186"/>
      <c r="O193" s="186"/>
      <c r="P193" s="186"/>
      <c r="Q193" s="186"/>
      <c r="R193" s="186"/>
    </row>
    <row r="194" spans="6:18">
      <c r="F194" s="186"/>
      <c r="G194" s="186"/>
      <c r="H194" s="186"/>
      <c r="I194" s="186"/>
      <c r="J194" s="186"/>
      <c r="K194" s="186"/>
      <c r="L194" s="186"/>
      <c r="M194" s="186"/>
      <c r="N194" s="186"/>
      <c r="O194" s="186"/>
      <c r="P194" s="186"/>
      <c r="Q194" s="186"/>
      <c r="R194" s="186"/>
    </row>
    <row r="195" spans="6:18">
      <c r="F195" s="186"/>
      <c r="G195" s="186"/>
      <c r="H195" s="186"/>
      <c r="I195" s="186"/>
      <c r="J195" s="186"/>
      <c r="K195" s="186"/>
      <c r="L195" s="186"/>
      <c r="M195" s="186"/>
      <c r="N195" s="186"/>
      <c r="O195" s="186"/>
      <c r="P195" s="186"/>
      <c r="Q195" s="186"/>
      <c r="R195" s="186"/>
    </row>
    <row r="196" spans="6:18">
      <c r="F196" s="186"/>
      <c r="G196" s="186"/>
      <c r="H196" s="186"/>
      <c r="I196" s="186"/>
      <c r="J196" s="186"/>
      <c r="K196" s="186"/>
      <c r="L196" s="186"/>
      <c r="M196" s="186"/>
      <c r="N196" s="186"/>
      <c r="O196" s="186"/>
      <c r="P196" s="186"/>
      <c r="Q196" s="186"/>
      <c r="R196" s="186"/>
    </row>
    <row r="197" spans="6:18">
      <c r="F197" s="186"/>
      <c r="G197" s="186"/>
      <c r="H197" s="186"/>
      <c r="I197" s="186"/>
      <c r="J197" s="186"/>
      <c r="K197" s="186"/>
      <c r="L197" s="186"/>
      <c r="M197" s="186"/>
      <c r="N197" s="186"/>
      <c r="O197" s="186"/>
      <c r="P197" s="186"/>
      <c r="Q197" s="186"/>
      <c r="R197" s="186"/>
    </row>
    <row r="198" spans="6:18">
      <c r="F198" s="186"/>
      <c r="G198" s="186"/>
      <c r="H198" s="186"/>
      <c r="I198" s="186"/>
      <c r="J198" s="186"/>
      <c r="K198" s="186"/>
      <c r="L198" s="186"/>
      <c r="M198" s="186"/>
      <c r="N198" s="186"/>
      <c r="O198" s="186"/>
      <c r="P198" s="186"/>
      <c r="Q198" s="186"/>
      <c r="R198" s="186"/>
    </row>
    <row r="199" spans="6:18">
      <c r="F199" s="186"/>
      <c r="G199" s="186"/>
      <c r="H199" s="186"/>
      <c r="I199" s="186"/>
      <c r="J199" s="186"/>
      <c r="K199" s="186"/>
      <c r="L199" s="186"/>
      <c r="M199" s="186"/>
      <c r="N199" s="186"/>
      <c r="O199" s="186"/>
      <c r="P199" s="186"/>
      <c r="Q199" s="186"/>
      <c r="R199" s="186"/>
    </row>
    <row r="200" spans="6:18">
      <c r="F200" s="186"/>
      <c r="G200" s="186"/>
      <c r="H200" s="186"/>
      <c r="I200" s="186"/>
      <c r="J200" s="186"/>
      <c r="K200" s="186"/>
      <c r="L200" s="186"/>
      <c r="M200" s="186"/>
      <c r="N200" s="186"/>
      <c r="O200" s="186"/>
      <c r="P200" s="186"/>
      <c r="Q200" s="186"/>
      <c r="R200" s="186"/>
    </row>
    <row r="201" spans="6:18">
      <c r="F201" s="186"/>
      <c r="G201" s="186"/>
      <c r="H201" s="186"/>
      <c r="I201" s="186"/>
      <c r="J201" s="186"/>
      <c r="K201" s="186"/>
      <c r="L201" s="186"/>
      <c r="M201" s="186"/>
      <c r="N201" s="186"/>
      <c r="O201" s="186"/>
      <c r="P201" s="186"/>
      <c r="Q201" s="186"/>
      <c r="R201" s="186"/>
    </row>
    <row r="202" spans="6:18">
      <c r="F202" s="186"/>
      <c r="G202" s="186"/>
      <c r="H202" s="186"/>
      <c r="I202" s="186"/>
      <c r="J202" s="186"/>
      <c r="K202" s="186"/>
      <c r="L202" s="186"/>
      <c r="M202" s="186"/>
      <c r="N202" s="186"/>
      <c r="O202" s="186"/>
      <c r="P202" s="186"/>
      <c r="Q202" s="186"/>
      <c r="R202" s="186"/>
    </row>
    <row r="203" spans="6:18">
      <c r="F203" s="186"/>
      <c r="G203" s="186"/>
      <c r="H203" s="186"/>
      <c r="I203" s="186"/>
      <c r="J203" s="186"/>
      <c r="K203" s="186"/>
      <c r="L203" s="186"/>
      <c r="M203" s="186"/>
      <c r="N203" s="186"/>
      <c r="O203" s="186"/>
      <c r="P203" s="186"/>
      <c r="Q203" s="186"/>
      <c r="R203" s="186"/>
    </row>
    <row r="204" spans="6:18">
      <c r="F204" s="186"/>
      <c r="G204" s="186"/>
      <c r="H204" s="186"/>
      <c r="I204" s="186"/>
      <c r="J204" s="186"/>
      <c r="K204" s="186"/>
      <c r="L204" s="186"/>
      <c r="M204" s="186"/>
      <c r="N204" s="186"/>
      <c r="O204" s="186"/>
      <c r="P204" s="186"/>
      <c r="Q204" s="186"/>
      <c r="R204" s="186"/>
    </row>
    <row r="205" spans="6:18">
      <c r="F205" s="186"/>
      <c r="G205" s="186"/>
      <c r="H205" s="186"/>
      <c r="I205" s="186"/>
      <c r="J205" s="186"/>
      <c r="K205" s="186"/>
      <c r="L205" s="186"/>
      <c r="M205" s="186"/>
      <c r="N205" s="186"/>
      <c r="O205" s="186"/>
      <c r="P205" s="186"/>
      <c r="Q205" s="186"/>
      <c r="R205" s="186"/>
    </row>
    <row r="206" spans="6:18">
      <c r="F206" s="186"/>
      <c r="G206" s="186"/>
      <c r="H206" s="186"/>
      <c r="I206" s="186"/>
      <c r="J206" s="186"/>
      <c r="K206" s="186"/>
      <c r="L206" s="186"/>
      <c r="M206" s="186"/>
      <c r="N206" s="186"/>
      <c r="O206" s="186"/>
      <c r="P206" s="186"/>
      <c r="Q206" s="186"/>
      <c r="R206" s="186"/>
    </row>
    <row r="207" spans="6:18">
      <c r="F207" s="186"/>
      <c r="G207" s="186"/>
      <c r="H207" s="186"/>
      <c r="I207" s="186"/>
      <c r="J207" s="186"/>
      <c r="K207" s="186"/>
      <c r="L207" s="186"/>
      <c r="M207" s="186"/>
      <c r="N207" s="186"/>
      <c r="O207" s="186"/>
      <c r="P207" s="186"/>
      <c r="Q207" s="186"/>
      <c r="R207" s="186"/>
    </row>
    <row r="208" spans="6:18">
      <c r="F208" s="186"/>
      <c r="G208" s="186"/>
      <c r="H208" s="186"/>
      <c r="I208" s="186"/>
      <c r="J208" s="186"/>
      <c r="K208" s="186"/>
      <c r="L208" s="186"/>
      <c r="M208" s="186"/>
      <c r="N208" s="186"/>
      <c r="O208" s="186"/>
      <c r="P208" s="186"/>
      <c r="Q208" s="186"/>
      <c r="R208" s="186"/>
    </row>
    <row r="209" spans="6:18">
      <c r="F209" s="186"/>
      <c r="G209" s="186"/>
      <c r="H209" s="186"/>
      <c r="I209" s="186"/>
      <c r="J209" s="186"/>
      <c r="K209" s="186"/>
      <c r="L209" s="186"/>
      <c r="M209" s="186"/>
      <c r="N209" s="186"/>
      <c r="O209" s="186"/>
      <c r="P209" s="186"/>
      <c r="Q209" s="186"/>
      <c r="R209" s="186"/>
    </row>
    <row r="210" spans="6:18">
      <c r="F210" s="186"/>
      <c r="G210" s="186"/>
      <c r="H210" s="186"/>
      <c r="I210" s="186"/>
      <c r="J210" s="186"/>
      <c r="K210" s="186"/>
      <c r="L210" s="186"/>
      <c r="M210" s="186"/>
      <c r="N210" s="186"/>
      <c r="O210" s="186"/>
      <c r="P210" s="186"/>
      <c r="Q210" s="186"/>
      <c r="R210" s="186"/>
    </row>
    <row r="211" spans="6:18">
      <c r="F211" s="186"/>
      <c r="G211" s="186"/>
      <c r="H211" s="186"/>
      <c r="I211" s="186"/>
      <c r="J211" s="186"/>
      <c r="K211" s="186"/>
      <c r="L211" s="186"/>
      <c r="M211" s="186"/>
      <c r="N211" s="186"/>
      <c r="O211" s="186"/>
      <c r="P211" s="186"/>
      <c r="Q211" s="186"/>
      <c r="R211" s="186"/>
    </row>
    <row r="212" spans="6:18">
      <c r="F212" s="186"/>
      <c r="G212" s="186"/>
      <c r="H212" s="186"/>
      <c r="I212" s="186"/>
      <c r="J212" s="186"/>
      <c r="K212" s="186"/>
      <c r="L212" s="186"/>
      <c r="M212" s="186"/>
      <c r="N212" s="186"/>
      <c r="O212" s="186"/>
      <c r="P212" s="186"/>
      <c r="Q212" s="186"/>
      <c r="R212" s="186"/>
    </row>
    <row r="213" spans="6:18">
      <c r="F213" s="186"/>
      <c r="G213" s="186"/>
      <c r="H213" s="186"/>
      <c r="I213" s="186"/>
      <c r="J213" s="186"/>
      <c r="K213" s="186"/>
      <c r="L213" s="186"/>
      <c r="M213" s="186"/>
      <c r="N213" s="186"/>
      <c r="O213" s="186"/>
      <c r="P213" s="186"/>
      <c r="Q213" s="186"/>
      <c r="R213" s="186"/>
    </row>
    <row r="214" spans="6:18">
      <c r="F214" s="186"/>
      <c r="G214" s="186"/>
      <c r="H214" s="186"/>
      <c r="I214" s="186"/>
      <c r="J214" s="186"/>
      <c r="K214" s="186"/>
      <c r="L214" s="186"/>
      <c r="M214" s="186"/>
      <c r="N214" s="186"/>
      <c r="O214" s="186"/>
      <c r="P214" s="186"/>
      <c r="Q214" s="186"/>
      <c r="R214" s="186"/>
    </row>
    <row r="215" spans="6:18">
      <c r="F215" s="186"/>
      <c r="G215" s="186"/>
      <c r="H215" s="186"/>
      <c r="I215" s="186"/>
      <c r="J215" s="186"/>
      <c r="K215" s="186"/>
      <c r="L215" s="186"/>
      <c r="M215" s="186"/>
      <c r="N215" s="186"/>
      <c r="O215" s="186"/>
      <c r="P215" s="186"/>
      <c r="Q215" s="186"/>
      <c r="R215" s="186"/>
    </row>
    <row r="216" spans="6:18">
      <c r="F216" s="186"/>
      <c r="G216" s="186"/>
      <c r="H216" s="186"/>
      <c r="I216" s="186"/>
      <c r="J216" s="186"/>
      <c r="K216" s="186"/>
      <c r="L216" s="186"/>
      <c r="M216" s="186"/>
      <c r="N216" s="186"/>
      <c r="O216" s="186"/>
      <c r="P216" s="186"/>
      <c r="Q216" s="186"/>
      <c r="R216" s="186"/>
    </row>
    <row r="217" spans="6:18">
      <c r="F217" s="186"/>
      <c r="G217" s="186"/>
      <c r="H217" s="186"/>
      <c r="I217" s="186"/>
      <c r="J217" s="186"/>
      <c r="K217" s="186"/>
      <c r="L217" s="186"/>
      <c r="M217" s="186"/>
      <c r="N217" s="186"/>
      <c r="O217" s="186"/>
      <c r="P217" s="186"/>
      <c r="Q217" s="186"/>
      <c r="R217" s="186"/>
    </row>
    <row r="218" spans="6:18">
      <c r="F218" s="186"/>
      <c r="G218" s="186"/>
      <c r="H218" s="186"/>
      <c r="I218" s="186"/>
      <c r="J218" s="186"/>
      <c r="K218" s="186"/>
      <c r="L218" s="186"/>
      <c r="M218" s="186"/>
      <c r="N218" s="186"/>
      <c r="O218" s="186"/>
      <c r="P218" s="186"/>
      <c r="Q218" s="186"/>
      <c r="R218" s="186"/>
    </row>
    <row r="219" spans="6:18">
      <c r="F219" s="186"/>
      <c r="G219" s="186"/>
      <c r="H219" s="186"/>
      <c r="I219" s="186"/>
      <c r="J219" s="186"/>
      <c r="K219" s="186"/>
      <c r="L219" s="186"/>
      <c r="M219" s="186"/>
      <c r="N219" s="186"/>
      <c r="O219" s="186"/>
      <c r="P219" s="186"/>
      <c r="Q219" s="186"/>
      <c r="R219" s="186"/>
    </row>
    <row r="220" spans="6:18">
      <c r="F220" s="186"/>
      <c r="G220" s="186"/>
      <c r="H220" s="186"/>
      <c r="I220" s="186"/>
      <c r="J220" s="186"/>
      <c r="K220" s="186"/>
      <c r="L220" s="186"/>
      <c r="M220" s="186"/>
      <c r="N220" s="186"/>
      <c r="O220" s="186"/>
      <c r="P220" s="186"/>
      <c r="Q220" s="186"/>
      <c r="R220" s="186"/>
    </row>
    <row r="221" spans="6:18">
      <c r="F221" s="186"/>
      <c r="G221" s="186"/>
      <c r="H221" s="186"/>
      <c r="I221" s="186"/>
      <c r="J221" s="186"/>
      <c r="K221" s="186"/>
      <c r="L221" s="186"/>
      <c r="M221" s="186"/>
      <c r="N221" s="186"/>
      <c r="O221" s="186"/>
      <c r="P221" s="186"/>
      <c r="Q221" s="186"/>
      <c r="R221" s="186"/>
    </row>
    <row r="222" spans="6:18">
      <c r="F222" s="186"/>
      <c r="G222" s="186"/>
      <c r="H222" s="186"/>
      <c r="I222" s="186"/>
      <c r="J222" s="186"/>
      <c r="K222" s="186"/>
      <c r="L222" s="186"/>
      <c r="M222" s="186"/>
      <c r="N222" s="186"/>
      <c r="O222" s="186"/>
      <c r="P222" s="186"/>
      <c r="Q222" s="186"/>
      <c r="R222" s="186"/>
    </row>
    <row r="223" spans="6:18">
      <c r="F223" s="186"/>
      <c r="G223" s="186"/>
      <c r="H223" s="186"/>
      <c r="I223" s="186"/>
      <c r="J223" s="186"/>
      <c r="K223" s="186"/>
      <c r="L223" s="186"/>
      <c r="M223" s="186"/>
      <c r="N223" s="186"/>
      <c r="O223" s="186"/>
      <c r="P223" s="186"/>
      <c r="Q223" s="186"/>
      <c r="R223" s="186"/>
    </row>
    <row r="224" spans="6:18">
      <c r="F224" s="186"/>
      <c r="G224" s="186"/>
      <c r="H224" s="186"/>
      <c r="I224" s="186"/>
      <c r="J224" s="186"/>
      <c r="K224" s="186"/>
      <c r="L224" s="186"/>
      <c r="M224" s="186"/>
      <c r="N224" s="186"/>
      <c r="O224" s="186"/>
      <c r="P224" s="186"/>
      <c r="Q224" s="186"/>
      <c r="R224" s="186"/>
    </row>
    <row r="225" spans="6:18">
      <c r="F225" s="186"/>
      <c r="G225" s="186"/>
      <c r="H225" s="186"/>
      <c r="I225" s="186"/>
      <c r="J225" s="186"/>
      <c r="K225" s="186"/>
      <c r="L225" s="186"/>
      <c r="M225" s="186"/>
      <c r="N225" s="186"/>
      <c r="O225" s="186"/>
      <c r="P225" s="186"/>
      <c r="Q225" s="186"/>
      <c r="R225" s="186"/>
    </row>
    <row r="226" spans="6:18">
      <c r="F226" s="186"/>
      <c r="G226" s="186"/>
      <c r="H226" s="186"/>
      <c r="I226" s="186"/>
      <c r="J226" s="186"/>
      <c r="K226" s="186"/>
      <c r="L226" s="186"/>
      <c r="M226" s="186"/>
      <c r="N226" s="186"/>
      <c r="O226" s="186"/>
      <c r="P226" s="186"/>
      <c r="Q226" s="186"/>
      <c r="R226" s="186"/>
    </row>
    <row r="227" spans="6:18">
      <c r="F227" s="186"/>
      <c r="G227" s="186"/>
      <c r="H227" s="186"/>
      <c r="I227" s="186"/>
      <c r="J227" s="186"/>
      <c r="K227" s="186"/>
      <c r="L227" s="186"/>
      <c r="M227" s="186"/>
      <c r="N227" s="186"/>
      <c r="O227" s="186"/>
      <c r="P227" s="186"/>
      <c r="Q227" s="186"/>
      <c r="R227" s="186"/>
    </row>
    <row r="228" spans="6:18">
      <c r="F228" s="186"/>
      <c r="G228" s="186"/>
      <c r="H228" s="186"/>
      <c r="I228" s="186"/>
      <c r="J228" s="186"/>
      <c r="K228" s="186"/>
      <c r="L228" s="186"/>
      <c r="M228" s="186"/>
      <c r="N228" s="186"/>
      <c r="O228" s="186"/>
      <c r="P228" s="186"/>
      <c r="Q228" s="186"/>
      <c r="R228" s="186"/>
    </row>
    <row r="229" spans="6:18">
      <c r="F229" s="186"/>
      <c r="G229" s="186"/>
      <c r="H229" s="186"/>
      <c r="I229" s="186"/>
      <c r="J229" s="186"/>
      <c r="K229" s="186"/>
      <c r="L229" s="186"/>
      <c r="M229" s="186"/>
      <c r="N229" s="186"/>
      <c r="O229" s="186"/>
      <c r="P229" s="186"/>
      <c r="Q229" s="186"/>
      <c r="R229" s="186"/>
    </row>
    <row r="230" spans="6:18">
      <c r="F230" s="186"/>
      <c r="G230" s="186"/>
      <c r="H230" s="186"/>
      <c r="I230" s="186"/>
      <c r="J230" s="186"/>
      <c r="K230" s="186"/>
      <c r="L230" s="186"/>
      <c r="M230" s="186"/>
      <c r="N230" s="186"/>
      <c r="O230" s="186"/>
      <c r="P230" s="186"/>
      <c r="Q230" s="186"/>
      <c r="R230" s="186"/>
    </row>
    <row r="231" spans="6:18">
      <c r="F231" s="186"/>
      <c r="G231" s="186"/>
      <c r="H231" s="186"/>
      <c r="I231" s="186"/>
      <c r="J231" s="186"/>
      <c r="K231" s="186"/>
      <c r="L231" s="186"/>
      <c r="M231" s="186"/>
      <c r="N231" s="186"/>
      <c r="O231" s="186"/>
      <c r="P231" s="186"/>
      <c r="Q231" s="186"/>
      <c r="R231" s="186"/>
    </row>
  </sheetData>
  <mergeCells count="5">
    <mergeCell ref="A1:R1"/>
    <mergeCell ref="A2:R2"/>
    <mergeCell ref="A3:R3"/>
    <mergeCell ref="A5:R5"/>
    <mergeCell ref="A6:R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46"/>
  <sheetViews>
    <sheetView workbookViewId="0">
      <selection activeCell="R12" sqref="R12"/>
    </sheetView>
  </sheetViews>
  <sheetFormatPr defaultRowHeight="12" outlineLevelCol="1"/>
  <cols>
    <col min="1" max="3" width="3.7109375" style="204" customWidth="1"/>
    <col min="4" max="4" width="60.7109375" style="204" customWidth="1"/>
    <col min="5" max="5" width="1.7109375" style="206" customWidth="1"/>
    <col min="6" max="17" width="15.7109375" style="204" hidden="1" customWidth="1" outlineLevel="1"/>
    <col min="18" max="18" width="15.7109375" style="204" customWidth="1" collapsed="1"/>
    <col min="19" max="19" width="9.85546875" style="204" bestFit="1" customWidth="1"/>
    <col min="20" max="256" width="9.140625" style="204"/>
    <col min="257" max="259" width="3.7109375" style="204" customWidth="1"/>
    <col min="260" max="260" width="60.7109375" style="204" customWidth="1"/>
    <col min="261" max="261" width="1.7109375" style="204" customWidth="1"/>
    <col min="262" max="273" width="0" style="204" hidden="1" customWidth="1"/>
    <col min="274" max="274" width="15.7109375" style="204" customWidth="1"/>
    <col min="275" max="275" width="9.85546875" style="204" bestFit="1" customWidth="1"/>
    <col min="276" max="512" width="9.140625" style="204"/>
    <col min="513" max="515" width="3.7109375" style="204" customWidth="1"/>
    <col min="516" max="516" width="60.7109375" style="204" customWidth="1"/>
    <col min="517" max="517" width="1.7109375" style="204" customWidth="1"/>
    <col min="518" max="529" width="0" style="204" hidden="1" customWidth="1"/>
    <col min="530" max="530" width="15.7109375" style="204" customWidth="1"/>
    <col min="531" max="531" width="9.85546875" style="204" bestFit="1" customWidth="1"/>
    <col min="532" max="768" width="9.140625" style="204"/>
    <col min="769" max="771" width="3.7109375" style="204" customWidth="1"/>
    <col min="772" max="772" width="60.7109375" style="204" customWidth="1"/>
    <col min="773" max="773" width="1.7109375" style="204" customWidth="1"/>
    <col min="774" max="785" width="0" style="204" hidden="1" customWidth="1"/>
    <col min="786" max="786" width="15.7109375" style="204" customWidth="1"/>
    <col min="787" max="787" width="9.85546875" style="204" bestFit="1" customWidth="1"/>
    <col min="788" max="1024" width="9.140625" style="204"/>
    <col min="1025" max="1027" width="3.7109375" style="204" customWidth="1"/>
    <col min="1028" max="1028" width="60.7109375" style="204" customWidth="1"/>
    <col min="1029" max="1029" width="1.7109375" style="204" customWidth="1"/>
    <col min="1030" max="1041" width="0" style="204" hidden="1" customWidth="1"/>
    <col min="1042" max="1042" width="15.7109375" style="204" customWidth="1"/>
    <col min="1043" max="1043" width="9.85546875" style="204" bestFit="1" customWidth="1"/>
    <col min="1044" max="1280" width="9.140625" style="204"/>
    <col min="1281" max="1283" width="3.7109375" style="204" customWidth="1"/>
    <col min="1284" max="1284" width="60.7109375" style="204" customWidth="1"/>
    <col min="1285" max="1285" width="1.7109375" style="204" customWidth="1"/>
    <col min="1286" max="1297" width="0" style="204" hidden="1" customWidth="1"/>
    <col min="1298" max="1298" width="15.7109375" style="204" customWidth="1"/>
    <col min="1299" max="1299" width="9.85546875" style="204" bestFit="1" customWidth="1"/>
    <col min="1300" max="1536" width="9.140625" style="204"/>
    <col min="1537" max="1539" width="3.7109375" style="204" customWidth="1"/>
    <col min="1540" max="1540" width="60.7109375" style="204" customWidth="1"/>
    <col min="1541" max="1541" width="1.7109375" style="204" customWidth="1"/>
    <col min="1542" max="1553" width="0" style="204" hidden="1" customWidth="1"/>
    <col min="1554" max="1554" width="15.7109375" style="204" customWidth="1"/>
    <col min="1555" max="1555" width="9.85546875" style="204" bestFit="1" customWidth="1"/>
    <col min="1556" max="1792" width="9.140625" style="204"/>
    <col min="1793" max="1795" width="3.7109375" style="204" customWidth="1"/>
    <col min="1796" max="1796" width="60.7109375" style="204" customWidth="1"/>
    <col min="1797" max="1797" width="1.7109375" style="204" customWidth="1"/>
    <col min="1798" max="1809" width="0" style="204" hidden="1" customWidth="1"/>
    <col min="1810" max="1810" width="15.7109375" style="204" customWidth="1"/>
    <col min="1811" max="1811" width="9.85546875" style="204" bestFit="1" customWidth="1"/>
    <col min="1812" max="2048" width="9.140625" style="204"/>
    <col min="2049" max="2051" width="3.7109375" style="204" customWidth="1"/>
    <col min="2052" max="2052" width="60.7109375" style="204" customWidth="1"/>
    <col min="2053" max="2053" width="1.7109375" style="204" customWidth="1"/>
    <col min="2054" max="2065" width="0" style="204" hidden="1" customWidth="1"/>
    <col min="2066" max="2066" width="15.7109375" style="204" customWidth="1"/>
    <col min="2067" max="2067" width="9.85546875" style="204" bestFit="1" customWidth="1"/>
    <col min="2068" max="2304" width="9.140625" style="204"/>
    <col min="2305" max="2307" width="3.7109375" style="204" customWidth="1"/>
    <col min="2308" max="2308" width="60.7109375" style="204" customWidth="1"/>
    <col min="2309" max="2309" width="1.7109375" style="204" customWidth="1"/>
    <col min="2310" max="2321" width="0" style="204" hidden="1" customWidth="1"/>
    <col min="2322" max="2322" width="15.7109375" style="204" customWidth="1"/>
    <col min="2323" max="2323" width="9.85546875" style="204" bestFit="1" customWidth="1"/>
    <col min="2324" max="2560" width="9.140625" style="204"/>
    <col min="2561" max="2563" width="3.7109375" style="204" customWidth="1"/>
    <col min="2564" max="2564" width="60.7109375" style="204" customWidth="1"/>
    <col min="2565" max="2565" width="1.7109375" style="204" customWidth="1"/>
    <col min="2566" max="2577" width="0" style="204" hidden="1" customWidth="1"/>
    <col min="2578" max="2578" width="15.7109375" style="204" customWidth="1"/>
    <col min="2579" max="2579" width="9.85546875" style="204" bestFit="1" customWidth="1"/>
    <col min="2580" max="2816" width="9.140625" style="204"/>
    <col min="2817" max="2819" width="3.7109375" style="204" customWidth="1"/>
    <col min="2820" max="2820" width="60.7109375" style="204" customWidth="1"/>
    <col min="2821" max="2821" width="1.7109375" style="204" customWidth="1"/>
    <col min="2822" max="2833" width="0" style="204" hidden="1" customWidth="1"/>
    <col min="2834" max="2834" width="15.7109375" style="204" customWidth="1"/>
    <col min="2835" max="2835" width="9.85546875" style="204" bestFit="1" customWidth="1"/>
    <col min="2836" max="3072" width="9.140625" style="204"/>
    <col min="3073" max="3075" width="3.7109375" style="204" customWidth="1"/>
    <col min="3076" max="3076" width="60.7109375" style="204" customWidth="1"/>
    <col min="3077" max="3077" width="1.7109375" style="204" customWidth="1"/>
    <col min="3078" max="3089" width="0" style="204" hidden="1" customWidth="1"/>
    <col min="3090" max="3090" width="15.7109375" style="204" customWidth="1"/>
    <col min="3091" max="3091" width="9.85546875" style="204" bestFit="1" customWidth="1"/>
    <col min="3092" max="3328" width="9.140625" style="204"/>
    <col min="3329" max="3331" width="3.7109375" style="204" customWidth="1"/>
    <col min="3332" max="3332" width="60.7109375" style="204" customWidth="1"/>
    <col min="3333" max="3333" width="1.7109375" style="204" customWidth="1"/>
    <col min="3334" max="3345" width="0" style="204" hidden="1" customWidth="1"/>
    <col min="3346" max="3346" width="15.7109375" style="204" customWidth="1"/>
    <col min="3347" max="3347" width="9.85546875" style="204" bestFit="1" customWidth="1"/>
    <col min="3348" max="3584" width="9.140625" style="204"/>
    <col min="3585" max="3587" width="3.7109375" style="204" customWidth="1"/>
    <col min="3588" max="3588" width="60.7109375" style="204" customWidth="1"/>
    <col min="3589" max="3589" width="1.7109375" style="204" customWidth="1"/>
    <col min="3590" max="3601" width="0" style="204" hidden="1" customWidth="1"/>
    <col min="3602" max="3602" width="15.7109375" style="204" customWidth="1"/>
    <col min="3603" max="3603" width="9.85546875" style="204" bestFit="1" customWidth="1"/>
    <col min="3604" max="3840" width="9.140625" style="204"/>
    <col min="3841" max="3843" width="3.7109375" style="204" customWidth="1"/>
    <col min="3844" max="3844" width="60.7109375" style="204" customWidth="1"/>
    <col min="3845" max="3845" width="1.7109375" style="204" customWidth="1"/>
    <col min="3846" max="3857" width="0" style="204" hidden="1" customWidth="1"/>
    <col min="3858" max="3858" width="15.7109375" style="204" customWidth="1"/>
    <col min="3859" max="3859" width="9.85546875" style="204" bestFit="1" customWidth="1"/>
    <col min="3860" max="4096" width="9.140625" style="204"/>
    <col min="4097" max="4099" width="3.7109375" style="204" customWidth="1"/>
    <col min="4100" max="4100" width="60.7109375" style="204" customWidth="1"/>
    <col min="4101" max="4101" width="1.7109375" style="204" customWidth="1"/>
    <col min="4102" max="4113" width="0" style="204" hidden="1" customWidth="1"/>
    <col min="4114" max="4114" width="15.7109375" style="204" customWidth="1"/>
    <col min="4115" max="4115" width="9.85546875" style="204" bestFit="1" customWidth="1"/>
    <col min="4116" max="4352" width="9.140625" style="204"/>
    <col min="4353" max="4355" width="3.7109375" style="204" customWidth="1"/>
    <col min="4356" max="4356" width="60.7109375" style="204" customWidth="1"/>
    <col min="4357" max="4357" width="1.7109375" style="204" customWidth="1"/>
    <col min="4358" max="4369" width="0" style="204" hidden="1" customWidth="1"/>
    <col min="4370" max="4370" width="15.7109375" style="204" customWidth="1"/>
    <col min="4371" max="4371" width="9.85546875" style="204" bestFit="1" customWidth="1"/>
    <col min="4372" max="4608" width="9.140625" style="204"/>
    <col min="4609" max="4611" width="3.7109375" style="204" customWidth="1"/>
    <col min="4612" max="4612" width="60.7109375" style="204" customWidth="1"/>
    <col min="4613" max="4613" width="1.7109375" style="204" customWidth="1"/>
    <col min="4614" max="4625" width="0" style="204" hidden="1" customWidth="1"/>
    <col min="4626" max="4626" width="15.7109375" style="204" customWidth="1"/>
    <col min="4627" max="4627" width="9.85546875" style="204" bestFit="1" customWidth="1"/>
    <col min="4628" max="4864" width="9.140625" style="204"/>
    <col min="4865" max="4867" width="3.7109375" style="204" customWidth="1"/>
    <col min="4868" max="4868" width="60.7109375" style="204" customWidth="1"/>
    <col min="4869" max="4869" width="1.7109375" style="204" customWidth="1"/>
    <col min="4870" max="4881" width="0" style="204" hidden="1" customWidth="1"/>
    <col min="4882" max="4882" width="15.7109375" style="204" customWidth="1"/>
    <col min="4883" max="4883" width="9.85546875" style="204" bestFit="1" customWidth="1"/>
    <col min="4884" max="5120" width="9.140625" style="204"/>
    <col min="5121" max="5123" width="3.7109375" style="204" customWidth="1"/>
    <col min="5124" max="5124" width="60.7109375" style="204" customWidth="1"/>
    <col min="5125" max="5125" width="1.7109375" style="204" customWidth="1"/>
    <col min="5126" max="5137" width="0" style="204" hidden="1" customWidth="1"/>
    <col min="5138" max="5138" width="15.7109375" style="204" customWidth="1"/>
    <col min="5139" max="5139" width="9.85546875" style="204" bestFit="1" customWidth="1"/>
    <col min="5140" max="5376" width="9.140625" style="204"/>
    <col min="5377" max="5379" width="3.7109375" style="204" customWidth="1"/>
    <col min="5380" max="5380" width="60.7109375" style="204" customWidth="1"/>
    <col min="5381" max="5381" width="1.7109375" style="204" customWidth="1"/>
    <col min="5382" max="5393" width="0" style="204" hidden="1" customWidth="1"/>
    <col min="5394" max="5394" width="15.7109375" style="204" customWidth="1"/>
    <col min="5395" max="5395" width="9.85546875" style="204" bestFit="1" customWidth="1"/>
    <col min="5396" max="5632" width="9.140625" style="204"/>
    <col min="5633" max="5635" width="3.7109375" style="204" customWidth="1"/>
    <col min="5636" max="5636" width="60.7109375" style="204" customWidth="1"/>
    <col min="5637" max="5637" width="1.7109375" style="204" customWidth="1"/>
    <col min="5638" max="5649" width="0" style="204" hidden="1" customWidth="1"/>
    <col min="5650" max="5650" width="15.7109375" style="204" customWidth="1"/>
    <col min="5651" max="5651" width="9.85546875" style="204" bestFit="1" customWidth="1"/>
    <col min="5652" max="5888" width="9.140625" style="204"/>
    <col min="5889" max="5891" width="3.7109375" style="204" customWidth="1"/>
    <col min="5892" max="5892" width="60.7109375" style="204" customWidth="1"/>
    <col min="5893" max="5893" width="1.7109375" style="204" customWidth="1"/>
    <col min="5894" max="5905" width="0" style="204" hidden="1" customWidth="1"/>
    <col min="5906" max="5906" width="15.7109375" style="204" customWidth="1"/>
    <col min="5907" max="5907" width="9.85546875" style="204" bestFit="1" customWidth="1"/>
    <col min="5908" max="6144" width="9.140625" style="204"/>
    <col min="6145" max="6147" width="3.7109375" style="204" customWidth="1"/>
    <col min="6148" max="6148" width="60.7109375" style="204" customWidth="1"/>
    <col min="6149" max="6149" width="1.7109375" style="204" customWidth="1"/>
    <col min="6150" max="6161" width="0" style="204" hidden="1" customWidth="1"/>
    <col min="6162" max="6162" width="15.7109375" style="204" customWidth="1"/>
    <col min="6163" max="6163" width="9.85546875" style="204" bestFit="1" customWidth="1"/>
    <col min="6164" max="6400" width="9.140625" style="204"/>
    <col min="6401" max="6403" width="3.7109375" style="204" customWidth="1"/>
    <col min="6404" max="6404" width="60.7109375" style="204" customWidth="1"/>
    <col min="6405" max="6405" width="1.7109375" style="204" customWidth="1"/>
    <col min="6406" max="6417" width="0" style="204" hidden="1" customWidth="1"/>
    <col min="6418" max="6418" width="15.7109375" style="204" customWidth="1"/>
    <col min="6419" max="6419" width="9.85546875" style="204" bestFit="1" customWidth="1"/>
    <col min="6420" max="6656" width="9.140625" style="204"/>
    <col min="6657" max="6659" width="3.7109375" style="204" customWidth="1"/>
    <col min="6660" max="6660" width="60.7109375" style="204" customWidth="1"/>
    <col min="6661" max="6661" width="1.7109375" style="204" customWidth="1"/>
    <col min="6662" max="6673" width="0" style="204" hidden="1" customWidth="1"/>
    <col min="6674" max="6674" width="15.7109375" style="204" customWidth="1"/>
    <col min="6675" max="6675" width="9.85546875" style="204" bestFit="1" customWidth="1"/>
    <col min="6676" max="6912" width="9.140625" style="204"/>
    <col min="6913" max="6915" width="3.7109375" style="204" customWidth="1"/>
    <col min="6916" max="6916" width="60.7109375" style="204" customWidth="1"/>
    <col min="6917" max="6917" width="1.7109375" style="204" customWidth="1"/>
    <col min="6918" max="6929" width="0" style="204" hidden="1" customWidth="1"/>
    <col min="6930" max="6930" width="15.7109375" style="204" customWidth="1"/>
    <col min="6931" max="6931" width="9.85546875" style="204" bestFit="1" customWidth="1"/>
    <col min="6932" max="7168" width="9.140625" style="204"/>
    <col min="7169" max="7171" width="3.7109375" style="204" customWidth="1"/>
    <col min="7172" max="7172" width="60.7109375" style="204" customWidth="1"/>
    <col min="7173" max="7173" width="1.7109375" style="204" customWidth="1"/>
    <col min="7174" max="7185" width="0" style="204" hidden="1" customWidth="1"/>
    <col min="7186" max="7186" width="15.7109375" style="204" customWidth="1"/>
    <col min="7187" max="7187" width="9.85546875" style="204" bestFit="1" customWidth="1"/>
    <col min="7188" max="7424" width="9.140625" style="204"/>
    <col min="7425" max="7427" width="3.7109375" style="204" customWidth="1"/>
    <col min="7428" max="7428" width="60.7109375" style="204" customWidth="1"/>
    <col min="7429" max="7429" width="1.7109375" style="204" customWidth="1"/>
    <col min="7430" max="7441" width="0" style="204" hidden="1" customWidth="1"/>
    <col min="7442" max="7442" width="15.7109375" style="204" customWidth="1"/>
    <col min="7443" max="7443" width="9.85546875" style="204" bestFit="1" customWidth="1"/>
    <col min="7444" max="7680" width="9.140625" style="204"/>
    <col min="7681" max="7683" width="3.7109375" style="204" customWidth="1"/>
    <col min="7684" max="7684" width="60.7109375" style="204" customWidth="1"/>
    <col min="7685" max="7685" width="1.7109375" style="204" customWidth="1"/>
    <col min="7686" max="7697" width="0" style="204" hidden="1" customWidth="1"/>
    <col min="7698" max="7698" width="15.7109375" style="204" customWidth="1"/>
    <col min="7699" max="7699" width="9.85546875" style="204" bestFit="1" customWidth="1"/>
    <col min="7700" max="7936" width="9.140625" style="204"/>
    <col min="7937" max="7939" width="3.7109375" style="204" customWidth="1"/>
    <col min="7940" max="7940" width="60.7109375" style="204" customWidth="1"/>
    <col min="7941" max="7941" width="1.7109375" style="204" customWidth="1"/>
    <col min="7942" max="7953" width="0" style="204" hidden="1" customWidth="1"/>
    <col min="7954" max="7954" width="15.7109375" style="204" customWidth="1"/>
    <col min="7955" max="7955" width="9.85546875" style="204" bestFit="1" customWidth="1"/>
    <col min="7956" max="8192" width="9.140625" style="204"/>
    <col min="8193" max="8195" width="3.7109375" style="204" customWidth="1"/>
    <col min="8196" max="8196" width="60.7109375" style="204" customWidth="1"/>
    <col min="8197" max="8197" width="1.7109375" style="204" customWidth="1"/>
    <col min="8198" max="8209" width="0" style="204" hidden="1" customWidth="1"/>
    <col min="8210" max="8210" width="15.7109375" style="204" customWidth="1"/>
    <col min="8211" max="8211" width="9.85546875" style="204" bestFit="1" customWidth="1"/>
    <col min="8212" max="8448" width="9.140625" style="204"/>
    <col min="8449" max="8451" width="3.7109375" style="204" customWidth="1"/>
    <col min="8452" max="8452" width="60.7109375" style="204" customWidth="1"/>
    <col min="8453" max="8453" width="1.7109375" style="204" customWidth="1"/>
    <col min="8454" max="8465" width="0" style="204" hidden="1" customWidth="1"/>
    <col min="8466" max="8466" width="15.7109375" style="204" customWidth="1"/>
    <col min="8467" max="8467" width="9.85546875" style="204" bestFit="1" customWidth="1"/>
    <col min="8468" max="8704" width="9.140625" style="204"/>
    <col min="8705" max="8707" width="3.7109375" style="204" customWidth="1"/>
    <col min="8708" max="8708" width="60.7109375" style="204" customWidth="1"/>
    <col min="8709" max="8709" width="1.7109375" style="204" customWidth="1"/>
    <col min="8710" max="8721" width="0" style="204" hidden="1" customWidth="1"/>
    <col min="8722" max="8722" width="15.7109375" style="204" customWidth="1"/>
    <col min="8723" max="8723" width="9.85546875" style="204" bestFit="1" customWidth="1"/>
    <col min="8724" max="8960" width="9.140625" style="204"/>
    <col min="8961" max="8963" width="3.7109375" style="204" customWidth="1"/>
    <col min="8964" max="8964" width="60.7109375" style="204" customWidth="1"/>
    <col min="8965" max="8965" width="1.7109375" style="204" customWidth="1"/>
    <col min="8966" max="8977" width="0" style="204" hidden="1" customWidth="1"/>
    <col min="8978" max="8978" width="15.7109375" style="204" customWidth="1"/>
    <col min="8979" max="8979" width="9.85546875" style="204" bestFit="1" customWidth="1"/>
    <col min="8980" max="9216" width="9.140625" style="204"/>
    <col min="9217" max="9219" width="3.7109375" style="204" customWidth="1"/>
    <col min="9220" max="9220" width="60.7109375" style="204" customWidth="1"/>
    <col min="9221" max="9221" width="1.7109375" style="204" customWidth="1"/>
    <col min="9222" max="9233" width="0" style="204" hidden="1" customWidth="1"/>
    <col min="9234" max="9234" width="15.7109375" style="204" customWidth="1"/>
    <col min="9235" max="9235" width="9.85546875" style="204" bestFit="1" customWidth="1"/>
    <col min="9236" max="9472" width="9.140625" style="204"/>
    <col min="9473" max="9475" width="3.7109375" style="204" customWidth="1"/>
    <col min="9476" max="9476" width="60.7109375" style="204" customWidth="1"/>
    <col min="9477" max="9477" width="1.7109375" style="204" customWidth="1"/>
    <col min="9478" max="9489" width="0" style="204" hidden="1" customWidth="1"/>
    <col min="9490" max="9490" width="15.7109375" style="204" customWidth="1"/>
    <col min="9491" max="9491" width="9.85546875" style="204" bestFit="1" customWidth="1"/>
    <col min="9492" max="9728" width="9.140625" style="204"/>
    <col min="9729" max="9731" width="3.7109375" style="204" customWidth="1"/>
    <col min="9732" max="9732" width="60.7109375" style="204" customWidth="1"/>
    <col min="9733" max="9733" width="1.7109375" style="204" customWidth="1"/>
    <col min="9734" max="9745" width="0" style="204" hidden="1" customWidth="1"/>
    <col min="9746" max="9746" width="15.7109375" style="204" customWidth="1"/>
    <col min="9747" max="9747" width="9.85546875" style="204" bestFit="1" customWidth="1"/>
    <col min="9748" max="9984" width="9.140625" style="204"/>
    <col min="9985" max="9987" width="3.7109375" style="204" customWidth="1"/>
    <col min="9988" max="9988" width="60.7109375" style="204" customWidth="1"/>
    <col min="9989" max="9989" width="1.7109375" style="204" customWidth="1"/>
    <col min="9990" max="10001" width="0" style="204" hidden="1" customWidth="1"/>
    <col min="10002" max="10002" width="15.7109375" style="204" customWidth="1"/>
    <col min="10003" max="10003" width="9.85546875" style="204" bestFit="1" customWidth="1"/>
    <col min="10004" max="10240" width="9.140625" style="204"/>
    <col min="10241" max="10243" width="3.7109375" style="204" customWidth="1"/>
    <col min="10244" max="10244" width="60.7109375" style="204" customWidth="1"/>
    <col min="10245" max="10245" width="1.7109375" style="204" customWidth="1"/>
    <col min="10246" max="10257" width="0" style="204" hidden="1" customWidth="1"/>
    <col min="10258" max="10258" width="15.7109375" style="204" customWidth="1"/>
    <col min="10259" max="10259" width="9.85546875" style="204" bestFit="1" customWidth="1"/>
    <col min="10260" max="10496" width="9.140625" style="204"/>
    <col min="10497" max="10499" width="3.7109375" style="204" customWidth="1"/>
    <col min="10500" max="10500" width="60.7109375" style="204" customWidth="1"/>
    <col min="10501" max="10501" width="1.7109375" style="204" customWidth="1"/>
    <col min="10502" max="10513" width="0" style="204" hidden="1" customWidth="1"/>
    <col min="10514" max="10514" width="15.7109375" style="204" customWidth="1"/>
    <col min="10515" max="10515" width="9.85546875" style="204" bestFit="1" customWidth="1"/>
    <col min="10516" max="10752" width="9.140625" style="204"/>
    <col min="10753" max="10755" width="3.7109375" style="204" customWidth="1"/>
    <col min="10756" max="10756" width="60.7109375" style="204" customWidth="1"/>
    <col min="10757" max="10757" width="1.7109375" style="204" customWidth="1"/>
    <col min="10758" max="10769" width="0" style="204" hidden="1" customWidth="1"/>
    <col min="10770" max="10770" width="15.7109375" style="204" customWidth="1"/>
    <col min="10771" max="10771" width="9.85546875" style="204" bestFit="1" customWidth="1"/>
    <col min="10772" max="11008" width="9.140625" style="204"/>
    <col min="11009" max="11011" width="3.7109375" style="204" customWidth="1"/>
    <col min="11012" max="11012" width="60.7109375" style="204" customWidth="1"/>
    <col min="11013" max="11013" width="1.7109375" style="204" customWidth="1"/>
    <col min="11014" max="11025" width="0" style="204" hidden="1" customWidth="1"/>
    <col min="11026" max="11026" width="15.7109375" style="204" customWidth="1"/>
    <col min="11027" max="11027" width="9.85546875" style="204" bestFit="1" customWidth="1"/>
    <col min="11028" max="11264" width="9.140625" style="204"/>
    <col min="11265" max="11267" width="3.7109375" style="204" customWidth="1"/>
    <col min="11268" max="11268" width="60.7109375" style="204" customWidth="1"/>
    <col min="11269" max="11269" width="1.7109375" style="204" customWidth="1"/>
    <col min="11270" max="11281" width="0" style="204" hidden="1" customWidth="1"/>
    <col min="11282" max="11282" width="15.7109375" style="204" customWidth="1"/>
    <col min="11283" max="11283" width="9.85546875" style="204" bestFit="1" customWidth="1"/>
    <col min="11284" max="11520" width="9.140625" style="204"/>
    <col min="11521" max="11523" width="3.7109375" style="204" customWidth="1"/>
    <col min="11524" max="11524" width="60.7109375" style="204" customWidth="1"/>
    <col min="11525" max="11525" width="1.7109375" style="204" customWidth="1"/>
    <col min="11526" max="11537" width="0" style="204" hidden="1" customWidth="1"/>
    <col min="11538" max="11538" width="15.7109375" style="204" customWidth="1"/>
    <col min="11539" max="11539" width="9.85546875" style="204" bestFit="1" customWidth="1"/>
    <col min="11540" max="11776" width="9.140625" style="204"/>
    <col min="11777" max="11779" width="3.7109375" style="204" customWidth="1"/>
    <col min="11780" max="11780" width="60.7109375" style="204" customWidth="1"/>
    <col min="11781" max="11781" width="1.7109375" style="204" customWidth="1"/>
    <col min="11782" max="11793" width="0" style="204" hidden="1" customWidth="1"/>
    <col min="11794" max="11794" width="15.7109375" style="204" customWidth="1"/>
    <col min="11795" max="11795" width="9.85546875" style="204" bestFit="1" customWidth="1"/>
    <col min="11796" max="12032" width="9.140625" style="204"/>
    <col min="12033" max="12035" width="3.7109375" style="204" customWidth="1"/>
    <col min="12036" max="12036" width="60.7109375" style="204" customWidth="1"/>
    <col min="12037" max="12037" width="1.7109375" style="204" customWidth="1"/>
    <col min="12038" max="12049" width="0" style="204" hidden="1" customWidth="1"/>
    <col min="12050" max="12050" width="15.7109375" style="204" customWidth="1"/>
    <col min="12051" max="12051" width="9.85546875" style="204" bestFit="1" customWidth="1"/>
    <col min="12052" max="12288" width="9.140625" style="204"/>
    <col min="12289" max="12291" width="3.7109375" style="204" customWidth="1"/>
    <col min="12292" max="12292" width="60.7109375" style="204" customWidth="1"/>
    <col min="12293" max="12293" width="1.7109375" style="204" customWidth="1"/>
    <col min="12294" max="12305" width="0" style="204" hidden="1" customWidth="1"/>
    <col min="12306" max="12306" width="15.7109375" style="204" customWidth="1"/>
    <col min="12307" max="12307" width="9.85546875" style="204" bestFit="1" customWidth="1"/>
    <col min="12308" max="12544" width="9.140625" style="204"/>
    <col min="12545" max="12547" width="3.7109375" style="204" customWidth="1"/>
    <col min="12548" max="12548" width="60.7109375" style="204" customWidth="1"/>
    <col min="12549" max="12549" width="1.7109375" style="204" customWidth="1"/>
    <col min="12550" max="12561" width="0" style="204" hidden="1" customWidth="1"/>
    <col min="12562" max="12562" width="15.7109375" style="204" customWidth="1"/>
    <col min="12563" max="12563" width="9.85546875" style="204" bestFit="1" customWidth="1"/>
    <col min="12564" max="12800" width="9.140625" style="204"/>
    <col min="12801" max="12803" width="3.7109375" style="204" customWidth="1"/>
    <col min="12804" max="12804" width="60.7109375" style="204" customWidth="1"/>
    <col min="12805" max="12805" width="1.7109375" style="204" customWidth="1"/>
    <col min="12806" max="12817" width="0" style="204" hidden="1" customWidth="1"/>
    <col min="12818" max="12818" width="15.7109375" style="204" customWidth="1"/>
    <col min="12819" max="12819" width="9.85546875" style="204" bestFit="1" customWidth="1"/>
    <col min="12820" max="13056" width="9.140625" style="204"/>
    <col min="13057" max="13059" width="3.7109375" style="204" customWidth="1"/>
    <col min="13060" max="13060" width="60.7109375" style="204" customWidth="1"/>
    <col min="13061" max="13061" width="1.7109375" style="204" customWidth="1"/>
    <col min="13062" max="13073" width="0" style="204" hidden="1" customWidth="1"/>
    <col min="13074" max="13074" width="15.7109375" style="204" customWidth="1"/>
    <col min="13075" max="13075" width="9.85546875" style="204" bestFit="1" customWidth="1"/>
    <col min="13076" max="13312" width="9.140625" style="204"/>
    <col min="13313" max="13315" width="3.7109375" style="204" customWidth="1"/>
    <col min="13316" max="13316" width="60.7109375" style="204" customWidth="1"/>
    <col min="13317" max="13317" width="1.7109375" style="204" customWidth="1"/>
    <col min="13318" max="13329" width="0" style="204" hidden="1" customWidth="1"/>
    <col min="13330" max="13330" width="15.7109375" style="204" customWidth="1"/>
    <col min="13331" max="13331" width="9.85546875" style="204" bestFit="1" customWidth="1"/>
    <col min="13332" max="13568" width="9.140625" style="204"/>
    <col min="13569" max="13571" width="3.7109375" style="204" customWidth="1"/>
    <col min="13572" max="13572" width="60.7109375" style="204" customWidth="1"/>
    <col min="13573" max="13573" width="1.7109375" style="204" customWidth="1"/>
    <col min="13574" max="13585" width="0" style="204" hidden="1" customWidth="1"/>
    <col min="13586" max="13586" width="15.7109375" style="204" customWidth="1"/>
    <col min="13587" max="13587" width="9.85546875" style="204" bestFit="1" customWidth="1"/>
    <col min="13588" max="13824" width="9.140625" style="204"/>
    <col min="13825" max="13827" width="3.7109375" style="204" customWidth="1"/>
    <col min="13828" max="13828" width="60.7109375" style="204" customWidth="1"/>
    <col min="13829" max="13829" width="1.7109375" style="204" customWidth="1"/>
    <col min="13830" max="13841" width="0" style="204" hidden="1" customWidth="1"/>
    <col min="13842" max="13842" width="15.7109375" style="204" customWidth="1"/>
    <col min="13843" max="13843" width="9.85546875" style="204" bestFit="1" customWidth="1"/>
    <col min="13844" max="14080" width="9.140625" style="204"/>
    <col min="14081" max="14083" width="3.7109375" style="204" customWidth="1"/>
    <col min="14084" max="14084" width="60.7109375" style="204" customWidth="1"/>
    <col min="14085" max="14085" width="1.7109375" style="204" customWidth="1"/>
    <col min="14086" max="14097" width="0" style="204" hidden="1" customWidth="1"/>
    <col min="14098" max="14098" width="15.7109375" style="204" customWidth="1"/>
    <col min="14099" max="14099" width="9.85546875" style="204" bestFit="1" customWidth="1"/>
    <col min="14100" max="14336" width="9.140625" style="204"/>
    <col min="14337" max="14339" width="3.7109375" style="204" customWidth="1"/>
    <col min="14340" max="14340" width="60.7109375" style="204" customWidth="1"/>
    <col min="14341" max="14341" width="1.7109375" style="204" customWidth="1"/>
    <col min="14342" max="14353" width="0" style="204" hidden="1" customWidth="1"/>
    <col min="14354" max="14354" width="15.7109375" style="204" customWidth="1"/>
    <col min="14355" max="14355" width="9.85546875" style="204" bestFit="1" customWidth="1"/>
    <col min="14356" max="14592" width="9.140625" style="204"/>
    <col min="14593" max="14595" width="3.7109375" style="204" customWidth="1"/>
    <col min="14596" max="14596" width="60.7109375" style="204" customWidth="1"/>
    <col min="14597" max="14597" width="1.7109375" style="204" customWidth="1"/>
    <col min="14598" max="14609" width="0" style="204" hidden="1" customWidth="1"/>
    <col min="14610" max="14610" width="15.7109375" style="204" customWidth="1"/>
    <col min="14611" max="14611" width="9.85546875" style="204" bestFit="1" customWidth="1"/>
    <col min="14612" max="14848" width="9.140625" style="204"/>
    <col min="14849" max="14851" width="3.7109375" style="204" customWidth="1"/>
    <col min="14852" max="14852" width="60.7109375" style="204" customWidth="1"/>
    <col min="14853" max="14853" width="1.7109375" style="204" customWidth="1"/>
    <col min="14854" max="14865" width="0" style="204" hidden="1" customWidth="1"/>
    <col min="14866" max="14866" width="15.7109375" style="204" customWidth="1"/>
    <col min="14867" max="14867" width="9.85546875" style="204" bestFit="1" customWidth="1"/>
    <col min="14868" max="15104" width="9.140625" style="204"/>
    <col min="15105" max="15107" width="3.7109375" style="204" customWidth="1"/>
    <col min="15108" max="15108" width="60.7109375" style="204" customWidth="1"/>
    <col min="15109" max="15109" width="1.7109375" style="204" customWidth="1"/>
    <col min="15110" max="15121" width="0" style="204" hidden="1" customWidth="1"/>
    <col min="15122" max="15122" width="15.7109375" style="204" customWidth="1"/>
    <col min="15123" max="15123" width="9.85546875" style="204" bestFit="1" customWidth="1"/>
    <col min="15124" max="15360" width="9.140625" style="204"/>
    <col min="15361" max="15363" width="3.7109375" style="204" customWidth="1"/>
    <col min="15364" max="15364" width="60.7109375" style="204" customWidth="1"/>
    <col min="15365" max="15365" width="1.7109375" style="204" customWidth="1"/>
    <col min="15366" max="15377" width="0" style="204" hidden="1" customWidth="1"/>
    <col min="15378" max="15378" width="15.7109375" style="204" customWidth="1"/>
    <col min="15379" max="15379" width="9.85546875" style="204" bestFit="1" customWidth="1"/>
    <col min="15380" max="15616" width="9.140625" style="204"/>
    <col min="15617" max="15619" width="3.7109375" style="204" customWidth="1"/>
    <col min="15620" max="15620" width="60.7109375" style="204" customWidth="1"/>
    <col min="15621" max="15621" width="1.7109375" style="204" customWidth="1"/>
    <col min="15622" max="15633" width="0" style="204" hidden="1" customWidth="1"/>
    <col min="15634" max="15634" width="15.7109375" style="204" customWidth="1"/>
    <col min="15635" max="15635" width="9.85546875" style="204" bestFit="1" customWidth="1"/>
    <col min="15636" max="15872" width="9.140625" style="204"/>
    <col min="15873" max="15875" width="3.7109375" style="204" customWidth="1"/>
    <col min="15876" max="15876" width="60.7109375" style="204" customWidth="1"/>
    <col min="15877" max="15877" width="1.7109375" style="204" customWidth="1"/>
    <col min="15878" max="15889" width="0" style="204" hidden="1" customWidth="1"/>
    <col min="15890" max="15890" width="15.7109375" style="204" customWidth="1"/>
    <col min="15891" max="15891" width="9.85546875" style="204" bestFit="1" customWidth="1"/>
    <col min="15892" max="16128" width="9.140625" style="204"/>
    <col min="16129" max="16131" width="3.7109375" style="204" customWidth="1"/>
    <col min="16132" max="16132" width="60.7109375" style="204" customWidth="1"/>
    <col min="16133" max="16133" width="1.7109375" style="204" customWidth="1"/>
    <col min="16134" max="16145" width="0" style="204" hidden="1" customWidth="1"/>
    <col min="16146" max="16146" width="15.7109375" style="204" customWidth="1"/>
    <col min="16147" max="16147" width="9.85546875" style="204" bestFit="1" customWidth="1"/>
    <col min="16148" max="16384" width="9.140625" style="204"/>
  </cols>
  <sheetData>
    <row r="1" spans="1:18">
      <c r="A1" s="320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321" t="s">
        <v>668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>
      <c r="A3" s="320" t="s">
        <v>669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5.0999999999999996" customHeight="1">
      <c r="A4" s="205"/>
      <c r="B4" s="205"/>
      <c r="C4" s="205"/>
      <c r="D4" s="205"/>
    </row>
    <row r="5" spans="1:18">
      <c r="A5" s="320" t="s">
        <v>729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5.0999999999999996" customHeight="1"/>
    <row r="8" spans="1:18">
      <c r="F8" s="207">
        <v>42400</v>
      </c>
      <c r="G8" s="207">
        <v>42429</v>
      </c>
      <c r="H8" s="207">
        <v>42460</v>
      </c>
      <c r="I8" s="207">
        <v>42490</v>
      </c>
      <c r="J8" s="207">
        <v>42521</v>
      </c>
      <c r="K8" s="207">
        <v>42551</v>
      </c>
      <c r="L8" s="207">
        <v>42582</v>
      </c>
      <c r="M8" s="207">
        <v>42613</v>
      </c>
      <c r="N8" s="207">
        <v>42643</v>
      </c>
      <c r="O8" s="207">
        <v>42674</v>
      </c>
      <c r="P8" s="207">
        <v>42704</v>
      </c>
      <c r="Q8" s="207">
        <v>42735</v>
      </c>
    </row>
    <row r="9" spans="1:18">
      <c r="A9" s="208" t="s">
        <v>704</v>
      </c>
    </row>
    <row r="10" spans="1:18">
      <c r="B10" s="208" t="s">
        <v>705</v>
      </c>
    </row>
    <row r="11" spans="1:18" ht="5.0999999999999996" customHeight="1">
      <c r="B11" s="2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>
      <c r="C12" s="204" t="s">
        <v>706</v>
      </c>
      <c r="F12" s="213">
        <f>+[1]sfpos!F12</f>
        <v>1331902.9900000002</v>
      </c>
      <c r="G12" s="213">
        <f>+[1]sfpos!G12</f>
        <v>1832825.7100000004</v>
      </c>
      <c r="H12" s="213">
        <f>+[1]sfpos!H12</f>
        <v>1974064.8700000006</v>
      </c>
      <c r="I12" s="213">
        <f>+[1]sfpos!I12</f>
        <v>1974064.8700000006</v>
      </c>
      <c r="J12" s="213">
        <f>+[1]sfpos!J12</f>
        <v>1974064.8700000006</v>
      </c>
      <c r="K12" s="213">
        <f>+[1]sfpos!K12</f>
        <v>1974064.8700000006</v>
      </c>
      <c r="L12" s="213">
        <f>+[1]sfpos!L12</f>
        <v>1974064.8700000006</v>
      </c>
      <c r="M12" s="213">
        <f>+[1]sfpos!M12</f>
        <v>1974064.8700000006</v>
      </c>
      <c r="N12" s="213">
        <f>+[1]sfpos!N12</f>
        <v>1974064.8700000006</v>
      </c>
      <c r="O12" s="213">
        <f>+[1]sfpos!O12</f>
        <v>1974064.8700000006</v>
      </c>
      <c r="P12" s="213">
        <f>+[1]sfpos!P12</f>
        <v>1974064.8700000006</v>
      </c>
      <c r="Q12" s="213">
        <f>+[1]sfpos!Q12</f>
        <v>1974064.8700000006</v>
      </c>
      <c r="R12" s="213">
        <f>sfpos!R12</f>
        <v>702563.87000000046</v>
      </c>
    </row>
    <row r="13" spans="1:18">
      <c r="C13" s="204" t="s">
        <v>708</v>
      </c>
      <c r="F13" s="213">
        <f>+[1]sfpos!F23</f>
        <v>155908.79999999999</v>
      </c>
      <c r="G13" s="213">
        <f>+[1]sfpos!G23</f>
        <v>155908.79999999999</v>
      </c>
      <c r="H13" s="213">
        <f>+[1]sfpos!H23</f>
        <v>172858.80000000005</v>
      </c>
      <c r="I13" s="213">
        <f>+[1]sfpos!I23</f>
        <v>172858.80000000005</v>
      </c>
      <c r="J13" s="213">
        <f>+[1]sfpos!J23</f>
        <v>172858.80000000005</v>
      </c>
      <c r="K13" s="213">
        <f>+[1]sfpos!K23</f>
        <v>172858.80000000005</v>
      </c>
      <c r="L13" s="213">
        <f>+[1]sfpos!L23</f>
        <v>172858.80000000005</v>
      </c>
      <c r="M13" s="213">
        <f>+[1]sfpos!M23</f>
        <v>172858.80000000005</v>
      </c>
      <c r="N13" s="213">
        <f>+[1]sfpos!N23</f>
        <v>172858.80000000005</v>
      </c>
      <c r="O13" s="213">
        <f>+[1]sfpos!O23</f>
        <v>172858.80000000005</v>
      </c>
      <c r="P13" s="213">
        <f>+[1]sfpos!P23</f>
        <v>172858.80000000005</v>
      </c>
      <c r="Q13" s="213">
        <f>+[1]sfpos!Q23</f>
        <v>172858.80000000005</v>
      </c>
      <c r="R13" s="213">
        <f>sfpos!R23</f>
        <v>172858.80000000005</v>
      </c>
    </row>
    <row r="14" spans="1:18">
      <c r="C14" s="204" t="s">
        <v>709</v>
      </c>
      <c r="F14" s="213">
        <f>+[1]sfpos!F29</f>
        <v>1194194.52</v>
      </c>
      <c r="G14" s="213">
        <f>+[1]sfpos!G29</f>
        <v>1152548.51</v>
      </c>
      <c r="H14" s="213">
        <f>+[1]sfpos!H29</f>
        <v>1170832.3699999999</v>
      </c>
      <c r="I14" s="213">
        <f>+[1]sfpos!I29</f>
        <v>1170832.3699999999</v>
      </c>
      <c r="J14" s="213">
        <f>+[1]sfpos!J29</f>
        <v>1170832.3699999999</v>
      </c>
      <c r="K14" s="213">
        <f>+[1]sfpos!K29</f>
        <v>1170832.3699999999</v>
      </c>
      <c r="L14" s="213">
        <f>+[1]sfpos!L29</f>
        <v>1170832.3699999999</v>
      </c>
      <c r="M14" s="213">
        <f>+[1]sfpos!M29</f>
        <v>1170832.3699999999</v>
      </c>
      <c r="N14" s="213">
        <f>+[1]sfpos!N29</f>
        <v>1170832.3699999999</v>
      </c>
      <c r="O14" s="213">
        <f>+[1]sfpos!O29</f>
        <v>1170832.3699999999</v>
      </c>
      <c r="P14" s="213">
        <f>+[1]sfpos!P29</f>
        <v>1170832.3699999999</v>
      </c>
      <c r="Q14" s="213">
        <f>+[1]sfpos!Q29</f>
        <v>1170832.3699999999</v>
      </c>
      <c r="R14" s="213">
        <f>sfpos!R29</f>
        <v>1170832.3699999999</v>
      </c>
    </row>
    <row r="15" spans="1:18">
      <c r="C15" s="204" t="s">
        <v>710</v>
      </c>
      <c r="F15" s="213">
        <f>+[1]sfpos!F35</f>
        <v>181583.57</v>
      </c>
      <c r="G15" s="213">
        <f>+[1]sfpos!G35</f>
        <v>230853.88</v>
      </c>
      <c r="H15" s="213">
        <f>+[1]sfpos!H35</f>
        <v>437207.32</v>
      </c>
      <c r="I15" s="213">
        <f>+[1]sfpos!I35</f>
        <v>437207.32</v>
      </c>
      <c r="J15" s="213">
        <f>+[1]sfpos!J35</f>
        <v>437207.32</v>
      </c>
      <c r="K15" s="213">
        <f>+[1]sfpos!K35</f>
        <v>437207.32</v>
      </c>
      <c r="L15" s="213">
        <f>+[1]sfpos!L35</f>
        <v>437207.32</v>
      </c>
      <c r="M15" s="213">
        <f>+[1]sfpos!M35</f>
        <v>437207.32</v>
      </c>
      <c r="N15" s="213">
        <f>+[1]sfpos!N35</f>
        <v>437207.32</v>
      </c>
      <c r="O15" s="213">
        <f>+[1]sfpos!O35</f>
        <v>437207.32</v>
      </c>
      <c r="P15" s="213">
        <f>+[1]sfpos!P35</f>
        <v>437207.32</v>
      </c>
      <c r="Q15" s="213">
        <f>+[1]sfpos!Q35</f>
        <v>437207.32</v>
      </c>
      <c r="R15" s="213">
        <f>sfpos!R35</f>
        <v>437207.32</v>
      </c>
    </row>
    <row r="16" spans="1:18" ht="5.0999999999999996" customHeight="1"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21">
      <c r="D17" s="210" t="s">
        <v>711</v>
      </c>
      <c r="F17" s="211">
        <f>+SUM(F11:F16)</f>
        <v>2863589.8800000004</v>
      </c>
      <c r="G17" s="211">
        <f t="shared" ref="G17:Q17" si="0">+SUM(G11:G16)</f>
        <v>3372136.9000000004</v>
      </c>
      <c r="H17" s="211">
        <f t="shared" si="0"/>
        <v>3754963.3600000008</v>
      </c>
      <c r="I17" s="211">
        <f t="shared" si="0"/>
        <v>3754963.3600000008</v>
      </c>
      <c r="J17" s="211">
        <f t="shared" si="0"/>
        <v>3754963.3600000008</v>
      </c>
      <c r="K17" s="211">
        <f t="shared" si="0"/>
        <v>3754963.3600000008</v>
      </c>
      <c r="L17" s="211">
        <f t="shared" si="0"/>
        <v>3754963.3600000008</v>
      </c>
      <c r="M17" s="211">
        <f t="shared" si="0"/>
        <v>3754963.3600000008</v>
      </c>
      <c r="N17" s="211">
        <f t="shared" si="0"/>
        <v>3754963.3600000008</v>
      </c>
      <c r="O17" s="211">
        <f t="shared" si="0"/>
        <v>3754963.3600000008</v>
      </c>
      <c r="P17" s="211">
        <f t="shared" si="0"/>
        <v>3754963.3600000008</v>
      </c>
      <c r="Q17" s="211">
        <f t="shared" si="0"/>
        <v>3754963.3600000008</v>
      </c>
      <c r="R17" s="211">
        <f>R12+R13+R14+R15</f>
        <v>2483462.3600000003</v>
      </c>
    </row>
    <row r="18" spans="1:21" ht="5.0999999999999996" customHeight="1"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21">
      <c r="B19" s="208" t="s">
        <v>712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21" ht="5.0999999999999996" customHeight="1">
      <c r="B20" s="208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21">
      <c r="C21" s="204" t="s">
        <v>713</v>
      </c>
      <c r="F21" s="213">
        <f>+[1]sfpos!F52</f>
        <v>27434880.300000004</v>
      </c>
      <c r="G21" s="213">
        <f>+[1]sfpos!G52</f>
        <v>27251998.330000002</v>
      </c>
      <c r="H21" s="213">
        <f>+[1]sfpos!H52</f>
        <v>27100426.740000002</v>
      </c>
      <c r="I21" s="213">
        <f>+[1]sfpos!I52</f>
        <v>27100426.740000002</v>
      </c>
      <c r="J21" s="213">
        <f>+[1]sfpos!J52</f>
        <v>27100426.740000002</v>
      </c>
      <c r="K21" s="213">
        <f>+[1]sfpos!K52</f>
        <v>27100426.740000002</v>
      </c>
      <c r="L21" s="213">
        <f>+[1]sfpos!L52</f>
        <v>27100426.740000002</v>
      </c>
      <c r="M21" s="213">
        <f>+[1]sfpos!M52</f>
        <v>27100426.740000002</v>
      </c>
      <c r="N21" s="213">
        <f>+[1]sfpos!N52</f>
        <v>27100426.740000002</v>
      </c>
      <c r="O21" s="213">
        <f>+[1]sfpos!O52</f>
        <v>27100426.740000002</v>
      </c>
      <c r="P21" s="213">
        <f>+[1]sfpos!P52</f>
        <v>27100426.740000002</v>
      </c>
      <c r="Q21" s="213">
        <f>+[1]sfpos!Q52</f>
        <v>27100426.740000002</v>
      </c>
      <c r="R21" s="213">
        <f>sfpos!R52</f>
        <v>27100426.740000002</v>
      </c>
      <c r="S21" s="219"/>
      <c r="T21" s="219"/>
      <c r="U21" s="219"/>
    </row>
    <row r="22" spans="1:21">
      <c r="C22" s="204" t="s">
        <v>714</v>
      </c>
      <c r="F22" s="213">
        <f>+[1]sfpos!F90</f>
        <v>0</v>
      </c>
      <c r="G22" s="213">
        <f>+[1]sfpos!G90</f>
        <v>0</v>
      </c>
      <c r="H22" s="213">
        <f>+[1]sfpos!H90</f>
        <v>0</v>
      </c>
      <c r="I22" s="213">
        <f>+[1]sfpos!I90</f>
        <v>0</v>
      </c>
      <c r="J22" s="213">
        <f>+[1]sfpos!J90</f>
        <v>0</v>
      </c>
      <c r="K22" s="213">
        <f>+[1]sfpos!K90</f>
        <v>0</v>
      </c>
      <c r="L22" s="213">
        <f>+[1]sfpos!L90</f>
        <v>0</v>
      </c>
      <c r="M22" s="213">
        <f>+[1]sfpos!M90</f>
        <v>0</v>
      </c>
      <c r="N22" s="213">
        <f>+[1]sfpos!N90</f>
        <v>0</v>
      </c>
      <c r="O22" s="213">
        <f>+[1]sfpos!O90</f>
        <v>0</v>
      </c>
      <c r="P22" s="213">
        <f>+[1]sfpos!P90</f>
        <v>0</v>
      </c>
      <c r="Q22" s="213">
        <f>+[1]sfpos!Q90</f>
        <v>0</v>
      </c>
      <c r="R22" s="213">
        <f>+Q22</f>
        <v>0</v>
      </c>
      <c r="S22" s="219"/>
      <c r="T22" s="219"/>
      <c r="U22" s="219"/>
    </row>
    <row r="23" spans="1:21" ht="5.0999999999999996" customHeight="1"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9"/>
      <c r="T23" s="219"/>
      <c r="U23" s="219"/>
    </row>
    <row r="24" spans="1:21">
      <c r="D24" s="210" t="s">
        <v>715</v>
      </c>
      <c r="F24" s="211">
        <f>+SUM(F20:F23)</f>
        <v>27434880.300000004</v>
      </c>
      <c r="G24" s="211">
        <f t="shared" ref="G24:Q24" si="1">+SUM(G20:G23)</f>
        <v>27251998.330000002</v>
      </c>
      <c r="H24" s="211">
        <f t="shared" si="1"/>
        <v>27100426.740000002</v>
      </c>
      <c r="I24" s="211">
        <f t="shared" si="1"/>
        <v>27100426.740000002</v>
      </c>
      <c r="J24" s="211">
        <f t="shared" si="1"/>
        <v>27100426.740000002</v>
      </c>
      <c r="K24" s="211">
        <f t="shared" si="1"/>
        <v>27100426.740000002</v>
      </c>
      <c r="L24" s="211">
        <f t="shared" si="1"/>
        <v>27100426.740000002</v>
      </c>
      <c r="M24" s="211">
        <f t="shared" si="1"/>
        <v>27100426.740000002</v>
      </c>
      <c r="N24" s="211">
        <f t="shared" si="1"/>
        <v>27100426.740000002</v>
      </c>
      <c r="O24" s="211">
        <f t="shared" si="1"/>
        <v>27100426.740000002</v>
      </c>
      <c r="P24" s="211">
        <f t="shared" si="1"/>
        <v>27100426.740000002</v>
      </c>
      <c r="Q24" s="211">
        <f t="shared" si="1"/>
        <v>27100426.740000002</v>
      </c>
      <c r="R24" s="211">
        <f>+Q24</f>
        <v>27100426.740000002</v>
      </c>
    </row>
    <row r="25" spans="1:21" ht="5.0999999999999996" customHeight="1"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21" ht="12.75" thickBot="1">
      <c r="D26" s="210" t="s">
        <v>716</v>
      </c>
      <c r="F26" s="214">
        <f>+F24+F17</f>
        <v>30298470.180000003</v>
      </c>
      <c r="G26" s="214">
        <f t="shared" ref="G26:Q26" si="2">+G24+G17</f>
        <v>30624135.230000004</v>
      </c>
      <c r="H26" s="214">
        <f t="shared" si="2"/>
        <v>30855390.100000001</v>
      </c>
      <c r="I26" s="214">
        <f t="shared" si="2"/>
        <v>30855390.100000001</v>
      </c>
      <c r="J26" s="214">
        <f t="shared" si="2"/>
        <v>30855390.100000001</v>
      </c>
      <c r="K26" s="214">
        <f t="shared" si="2"/>
        <v>30855390.100000001</v>
      </c>
      <c r="L26" s="214">
        <f t="shared" si="2"/>
        <v>30855390.100000001</v>
      </c>
      <c r="M26" s="214">
        <f t="shared" si="2"/>
        <v>30855390.100000001</v>
      </c>
      <c r="N26" s="214">
        <f t="shared" si="2"/>
        <v>30855390.100000001</v>
      </c>
      <c r="O26" s="214">
        <f t="shared" si="2"/>
        <v>30855390.100000001</v>
      </c>
      <c r="P26" s="214">
        <f t="shared" si="2"/>
        <v>30855390.100000001</v>
      </c>
      <c r="Q26" s="214">
        <f t="shared" si="2"/>
        <v>30855390.100000001</v>
      </c>
      <c r="R26" s="214">
        <f>R17+R24</f>
        <v>29583889.100000001</v>
      </c>
    </row>
    <row r="27" spans="1:21" ht="5.0999999999999996" customHeight="1" thickTop="1"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</row>
    <row r="28" spans="1:21"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1:21">
      <c r="A29" s="208" t="s">
        <v>564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</row>
    <row r="30" spans="1:21">
      <c r="B30" s="208" t="s">
        <v>717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</row>
    <row r="31" spans="1:21" ht="5.0999999999999996" customHeight="1"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</row>
    <row r="32" spans="1:21">
      <c r="C32" s="204" t="s">
        <v>718</v>
      </c>
      <c r="F32" s="213">
        <f>+[1]sfpos!F101</f>
        <v>589691.80000000005</v>
      </c>
      <c r="G32" s="213">
        <f>+[1]sfpos!G101</f>
        <v>589691.80000000005</v>
      </c>
      <c r="H32" s="213">
        <f>+[1]sfpos!H101</f>
        <v>589691.80000000016</v>
      </c>
      <c r="I32" s="213">
        <f>+[1]sfpos!I101</f>
        <v>589691.80000000016</v>
      </c>
      <c r="J32" s="213">
        <f>+[1]sfpos!J101</f>
        <v>589691.80000000016</v>
      </c>
      <c r="K32" s="213">
        <f>+[1]sfpos!K101</f>
        <v>589691.80000000016</v>
      </c>
      <c r="L32" s="213">
        <f>+[1]sfpos!L101</f>
        <v>589691.80000000016</v>
      </c>
      <c r="M32" s="213">
        <f>+[1]sfpos!M101</f>
        <v>589691.80000000016</v>
      </c>
      <c r="N32" s="213">
        <f>+[1]sfpos!N101</f>
        <v>589691.80000000016</v>
      </c>
      <c r="O32" s="213">
        <f>+[1]sfpos!O101</f>
        <v>589691.80000000016</v>
      </c>
      <c r="P32" s="213">
        <f>+[1]sfpos!P101</f>
        <v>589691.80000000016</v>
      </c>
      <c r="Q32" s="213">
        <f>+[1]sfpos!Q101</f>
        <v>589691.80000000016</v>
      </c>
      <c r="R32" s="213">
        <f>sfpos!R101</f>
        <v>589691.80000000016</v>
      </c>
    </row>
    <row r="33" spans="2:18">
      <c r="C33" s="204" t="s">
        <v>719</v>
      </c>
      <c r="F33" s="213">
        <f>+[1]sfpos!F105</f>
        <v>186916.78999999998</v>
      </c>
      <c r="G33" s="213">
        <f>+[1]sfpos!G105</f>
        <v>195571.72999999998</v>
      </c>
      <c r="H33" s="213">
        <f>+[1]sfpos!H105</f>
        <v>200409.60999999996</v>
      </c>
      <c r="I33" s="213">
        <f>+[1]sfpos!I105</f>
        <v>200409.60999999996</v>
      </c>
      <c r="J33" s="213">
        <f>+[1]sfpos!J105</f>
        <v>200409.60999999996</v>
      </c>
      <c r="K33" s="213">
        <f>+[1]sfpos!K105</f>
        <v>200409.60999999996</v>
      </c>
      <c r="L33" s="213">
        <f>+[1]sfpos!L105</f>
        <v>200409.60999999996</v>
      </c>
      <c r="M33" s="213">
        <f>+[1]sfpos!M105</f>
        <v>200409.60999999996</v>
      </c>
      <c r="N33" s="213">
        <f>+[1]sfpos!N105</f>
        <v>200409.60999999996</v>
      </c>
      <c r="O33" s="213">
        <f>+[1]sfpos!O105</f>
        <v>200409.60999999996</v>
      </c>
      <c r="P33" s="213">
        <f>+[1]sfpos!P105</f>
        <v>200409.60999999996</v>
      </c>
      <c r="Q33" s="213">
        <f>+[1]sfpos!Q105</f>
        <v>200409.60999999996</v>
      </c>
      <c r="R33" s="213">
        <f>sfpos!R105</f>
        <v>200409.60999999996</v>
      </c>
    </row>
    <row r="34" spans="2:18">
      <c r="C34" s="204" t="s">
        <v>319</v>
      </c>
      <c r="F34" s="220">
        <f>+[1]sfpos!F113</f>
        <v>53527.299999999988</v>
      </c>
      <c r="G34" s="220">
        <f>+[1]sfpos!G113</f>
        <v>275</v>
      </c>
      <c r="H34" s="220">
        <f>+[1]sfpos!H113</f>
        <v>274.99999999998545</v>
      </c>
      <c r="I34" s="220">
        <f>+[1]sfpos!I113</f>
        <v>274.99999999998545</v>
      </c>
      <c r="J34" s="220">
        <f>+[1]sfpos!J113</f>
        <v>274.99999999998545</v>
      </c>
      <c r="K34" s="220">
        <f>+[1]sfpos!K113</f>
        <v>274.99999999998545</v>
      </c>
      <c r="L34" s="220">
        <f>+[1]sfpos!L113</f>
        <v>274.99999999998545</v>
      </c>
      <c r="M34" s="220">
        <f>+[1]sfpos!M113</f>
        <v>274.99999999998545</v>
      </c>
      <c r="N34" s="220">
        <f>+[1]sfpos!N113</f>
        <v>274.99999999998545</v>
      </c>
      <c r="O34" s="220">
        <f>+[1]sfpos!O113</f>
        <v>274.99999999998545</v>
      </c>
      <c r="P34" s="220">
        <f>+[1]sfpos!P113</f>
        <v>274.99999999998545</v>
      </c>
      <c r="Q34" s="220">
        <f>+[1]sfpos!Q113</f>
        <v>274.99999999998545</v>
      </c>
      <c r="R34" s="220">
        <f>sfpos!R113</f>
        <v>274.99999999998545</v>
      </c>
    </row>
    <row r="35" spans="2:18" ht="5.0999999999999996" customHeight="1">
      <c r="C35" s="208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  <row r="36" spans="2:18">
      <c r="C36" s="208"/>
      <c r="D36" s="210" t="s">
        <v>720</v>
      </c>
      <c r="F36" s="209">
        <f>+SUM(F31:F35)</f>
        <v>830135.89000000013</v>
      </c>
      <c r="G36" s="209">
        <f t="shared" ref="G36:Q36" si="3">+SUM(G31:G35)</f>
        <v>785538.53</v>
      </c>
      <c r="H36" s="209">
        <f t="shared" si="3"/>
        <v>790376.41000000015</v>
      </c>
      <c r="I36" s="209">
        <f t="shared" si="3"/>
        <v>790376.41000000015</v>
      </c>
      <c r="J36" s="209">
        <f t="shared" si="3"/>
        <v>790376.41000000015</v>
      </c>
      <c r="K36" s="209">
        <f t="shared" si="3"/>
        <v>790376.41000000015</v>
      </c>
      <c r="L36" s="209">
        <f t="shared" si="3"/>
        <v>790376.41000000015</v>
      </c>
      <c r="M36" s="209">
        <f t="shared" si="3"/>
        <v>790376.41000000015</v>
      </c>
      <c r="N36" s="209">
        <f t="shared" si="3"/>
        <v>790376.41000000015</v>
      </c>
      <c r="O36" s="209">
        <f t="shared" si="3"/>
        <v>790376.41000000015</v>
      </c>
      <c r="P36" s="209">
        <f t="shared" si="3"/>
        <v>790376.41000000015</v>
      </c>
      <c r="Q36" s="209">
        <f t="shared" si="3"/>
        <v>790376.41000000015</v>
      </c>
      <c r="R36" s="209">
        <f>R32+R33+R34</f>
        <v>790376.41000000015</v>
      </c>
    </row>
    <row r="37" spans="2:18" ht="5.0999999999999996" customHeight="1">
      <c r="C37" s="208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</row>
    <row r="38" spans="2:18">
      <c r="B38" s="208" t="s">
        <v>721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</row>
    <row r="39" spans="2:18" ht="5.0999999999999996" customHeight="1"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2:18">
      <c r="C40" s="204" t="s">
        <v>317</v>
      </c>
      <c r="F40" s="220">
        <f>+[1]sfpos!F120</f>
        <v>65771.63</v>
      </c>
      <c r="G40" s="220">
        <f>+[1]sfpos!G120</f>
        <v>65771.63</v>
      </c>
      <c r="H40" s="220">
        <f>+[1]sfpos!H120</f>
        <v>65771.63</v>
      </c>
      <c r="I40" s="220">
        <f>+[1]sfpos!I120</f>
        <v>65771.63</v>
      </c>
      <c r="J40" s="220">
        <f>+[1]sfpos!J120</f>
        <v>65771.63</v>
      </c>
      <c r="K40" s="220">
        <f>+[1]sfpos!K120</f>
        <v>65771.63</v>
      </c>
      <c r="L40" s="220">
        <f>+[1]sfpos!L120</f>
        <v>65771.63</v>
      </c>
      <c r="M40" s="220">
        <f>+[1]sfpos!M120</f>
        <v>65771.63</v>
      </c>
      <c r="N40" s="220">
        <f>+[1]sfpos!N120</f>
        <v>65771.63</v>
      </c>
      <c r="O40" s="220">
        <f>+[1]sfpos!O120</f>
        <v>65771.63</v>
      </c>
      <c r="P40" s="220">
        <f>+[1]sfpos!P120</f>
        <v>65771.63</v>
      </c>
      <c r="Q40" s="220">
        <f>+[1]sfpos!Q120</f>
        <v>65771.63</v>
      </c>
      <c r="R40" s="220">
        <f>+Q40</f>
        <v>65771.63</v>
      </c>
    </row>
    <row r="41" spans="2:18" ht="5.0999999999999996" customHeight="1"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</row>
    <row r="42" spans="2:18">
      <c r="D42" s="210" t="s">
        <v>722</v>
      </c>
      <c r="F42" s="209">
        <f>+SUM(F39:F41)</f>
        <v>65771.63</v>
      </c>
      <c r="G42" s="209">
        <f t="shared" ref="G42:Q42" si="4">+SUM(G39:G41)</f>
        <v>65771.63</v>
      </c>
      <c r="H42" s="209">
        <f t="shared" si="4"/>
        <v>65771.63</v>
      </c>
      <c r="I42" s="209">
        <f t="shared" si="4"/>
        <v>65771.63</v>
      </c>
      <c r="J42" s="209">
        <f t="shared" si="4"/>
        <v>65771.63</v>
      </c>
      <c r="K42" s="209">
        <f t="shared" si="4"/>
        <v>65771.63</v>
      </c>
      <c r="L42" s="209">
        <f t="shared" si="4"/>
        <v>65771.63</v>
      </c>
      <c r="M42" s="209">
        <f t="shared" si="4"/>
        <v>65771.63</v>
      </c>
      <c r="N42" s="209">
        <f t="shared" si="4"/>
        <v>65771.63</v>
      </c>
      <c r="O42" s="209">
        <f t="shared" si="4"/>
        <v>65771.63</v>
      </c>
      <c r="P42" s="209">
        <f t="shared" si="4"/>
        <v>65771.63</v>
      </c>
      <c r="Q42" s="209">
        <f t="shared" si="4"/>
        <v>65771.63</v>
      </c>
      <c r="R42" s="209">
        <f>+Q42</f>
        <v>65771.63</v>
      </c>
    </row>
    <row r="43" spans="2:18" ht="5.0999999999999996" customHeight="1"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2:18">
      <c r="D44" s="210" t="s">
        <v>723</v>
      </c>
      <c r="F44" s="209">
        <f>+F42+F36</f>
        <v>895907.52000000014</v>
      </c>
      <c r="G44" s="209">
        <f t="shared" ref="G44:Q44" si="5">+G42+G36</f>
        <v>851310.16</v>
      </c>
      <c r="H44" s="209">
        <f t="shared" si="5"/>
        <v>856148.04000000015</v>
      </c>
      <c r="I44" s="209">
        <f t="shared" si="5"/>
        <v>856148.04000000015</v>
      </c>
      <c r="J44" s="209">
        <f t="shared" si="5"/>
        <v>856148.04000000015</v>
      </c>
      <c r="K44" s="209">
        <f t="shared" si="5"/>
        <v>856148.04000000015</v>
      </c>
      <c r="L44" s="209">
        <f t="shared" si="5"/>
        <v>856148.04000000015</v>
      </c>
      <c r="M44" s="209">
        <f t="shared" si="5"/>
        <v>856148.04000000015</v>
      </c>
      <c r="N44" s="209">
        <f t="shared" si="5"/>
        <v>856148.04000000015</v>
      </c>
      <c r="O44" s="209">
        <f t="shared" si="5"/>
        <v>856148.04000000015</v>
      </c>
      <c r="P44" s="209">
        <f t="shared" si="5"/>
        <v>856148.04000000015</v>
      </c>
      <c r="Q44" s="209">
        <f t="shared" si="5"/>
        <v>856148.04000000015</v>
      </c>
      <c r="R44" s="209">
        <f>R42+R36</f>
        <v>856148.04000000015</v>
      </c>
    </row>
    <row r="45" spans="2:18" ht="5.0999999999999996" customHeight="1"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</row>
    <row r="46" spans="2:18">
      <c r="D46" s="210" t="s">
        <v>725</v>
      </c>
      <c r="F46" s="209">
        <f>+[1]sfpos!F131</f>
        <v>29148759.349999998</v>
      </c>
      <c r="G46" s="209">
        <f>+[1]sfpos!G131</f>
        <v>29159126.679999996</v>
      </c>
      <c r="H46" s="209">
        <f>+[1]sfpos!H131</f>
        <v>29190438.419999998</v>
      </c>
      <c r="I46" s="209">
        <f>+[1]sfpos!I131</f>
        <v>29190438.419999998</v>
      </c>
      <c r="J46" s="209">
        <f>+[1]sfpos!J131</f>
        <v>29190438.419999998</v>
      </c>
      <c r="K46" s="209">
        <f>+[1]sfpos!K131</f>
        <v>29190438.419999998</v>
      </c>
      <c r="L46" s="209">
        <f>+[1]sfpos!L131</f>
        <v>29190438.419999998</v>
      </c>
      <c r="M46" s="209">
        <f>+[1]sfpos!M131</f>
        <v>29190438.419999998</v>
      </c>
      <c r="N46" s="209">
        <f>+[1]sfpos!N131</f>
        <v>29190438.419999998</v>
      </c>
      <c r="O46" s="209">
        <f>+[1]sfpos!O131</f>
        <v>29190438.419999998</v>
      </c>
      <c r="P46" s="209">
        <f>+[1]sfpos!P131</f>
        <v>29190438.419999998</v>
      </c>
      <c r="Q46" s="209">
        <f>+[1]sfpos!Q131</f>
        <v>29190438.419999998</v>
      </c>
      <c r="R46" s="209">
        <f>sfpos!R131</f>
        <v>28727741.060000002</v>
      </c>
    </row>
    <row r="47" spans="2:18" ht="5.0999999999999996" customHeight="1"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2:18" ht="12.75" thickBot="1">
      <c r="D48" s="210" t="s">
        <v>726</v>
      </c>
      <c r="F48" s="214">
        <f>+F46+F44</f>
        <v>30044666.869999997</v>
      </c>
      <c r="G48" s="214">
        <f t="shared" ref="G48:Q48" si="6">+G46+G44</f>
        <v>30010436.839999996</v>
      </c>
      <c r="H48" s="214">
        <f t="shared" si="6"/>
        <v>30046586.459999997</v>
      </c>
      <c r="I48" s="214">
        <f t="shared" si="6"/>
        <v>30046586.459999997</v>
      </c>
      <c r="J48" s="214">
        <f t="shared" si="6"/>
        <v>30046586.459999997</v>
      </c>
      <c r="K48" s="214">
        <f t="shared" si="6"/>
        <v>30046586.459999997</v>
      </c>
      <c r="L48" s="214">
        <f t="shared" si="6"/>
        <v>30046586.459999997</v>
      </c>
      <c r="M48" s="214">
        <f t="shared" si="6"/>
        <v>30046586.459999997</v>
      </c>
      <c r="N48" s="214">
        <f t="shared" si="6"/>
        <v>30046586.459999997</v>
      </c>
      <c r="O48" s="214">
        <f t="shared" si="6"/>
        <v>30046586.459999997</v>
      </c>
      <c r="P48" s="214">
        <f t="shared" si="6"/>
        <v>30046586.459999997</v>
      </c>
      <c r="Q48" s="214">
        <f t="shared" si="6"/>
        <v>30046586.459999997</v>
      </c>
      <c r="R48" s="214">
        <f>R46+R44</f>
        <v>29583889.100000001</v>
      </c>
    </row>
    <row r="49" spans="6:19" ht="12.75" thickTop="1"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215"/>
    </row>
    <row r="50" spans="6:19"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6:19"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6:19"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</row>
    <row r="53" spans="6:19"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6:19"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  <row r="55" spans="6:19"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6:19"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</row>
    <row r="57" spans="6:19"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</row>
    <row r="58" spans="6:19"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</row>
    <row r="59" spans="6:19"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</row>
    <row r="60" spans="6:19"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</row>
    <row r="61" spans="6:19"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</row>
    <row r="62" spans="6:19"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</row>
    <row r="63" spans="6:19"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</row>
    <row r="64" spans="6:19"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</row>
    <row r="65" spans="6:18"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</row>
    <row r="66" spans="6:18"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</row>
    <row r="67" spans="6:18"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</row>
    <row r="68" spans="6:18"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</row>
    <row r="69" spans="6:18"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</row>
    <row r="70" spans="6:18"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6:18"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6:18"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</row>
    <row r="73" spans="6:18"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6:18"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</row>
    <row r="75" spans="6:18"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</row>
    <row r="76" spans="6:18"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</row>
    <row r="77" spans="6:18"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</row>
    <row r="78" spans="6:18"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6:18"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6:18"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6:18"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</row>
    <row r="82" spans="6:18"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</row>
    <row r="83" spans="6:18"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</row>
    <row r="84" spans="6:18"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</row>
    <row r="85" spans="6:18"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</row>
    <row r="86" spans="6:18"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</row>
    <row r="87" spans="6:18"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</row>
    <row r="88" spans="6:18"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</row>
    <row r="89" spans="6:18"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6:18"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</row>
    <row r="91" spans="6:18"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</row>
    <row r="92" spans="6:18"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6:18"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6:18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6:18"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</row>
    <row r="96" spans="6:18"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6:18"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6:18"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6:18"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6:18"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6:18"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6:18"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6:18"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6:18"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6:18"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6:18"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6:18"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6:18"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6:18"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6:18"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6:18"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6:18"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6:18"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6:18"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6:18"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6:18"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</row>
    <row r="117" spans="6:18"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6:18"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</row>
    <row r="119" spans="6:18"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6:18"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</row>
    <row r="121" spans="6:18"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</row>
    <row r="122" spans="6:18"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</row>
    <row r="123" spans="6:18"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6:18"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</row>
    <row r="125" spans="6:18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6:18"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</row>
    <row r="127" spans="6:18"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6:18"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</row>
    <row r="129" spans="6:18"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</row>
    <row r="130" spans="6:18"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6:18"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</row>
    <row r="132" spans="6:18"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6:18"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</row>
    <row r="134" spans="6:18"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</row>
    <row r="135" spans="6:18"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</row>
    <row r="136" spans="6:18"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</row>
    <row r="137" spans="6:18"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</row>
    <row r="138" spans="6:18"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6:18"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6:18"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6:18"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6:18"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6:18"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6:18"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6:18"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6:18"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</sheetData>
  <mergeCells count="5">
    <mergeCell ref="A1:R1"/>
    <mergeCell ref="A2:R2"/>
    <mergeCell ref="A3:R3"/>
    <mergeCell ref="A5:R5"/>
    <mergeCell ref="A6:R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46"/>
  <sheetViews>
    <sheetView workbookViewId="0">
      <selection activeCell="D51" sqref="D51"/>
    </sheetView>
  </sheetViews>
  <sheetFormatPr defaultRowHeight="12" outlineLevelCol="1"/>
  <cols>
    <col min="1" max="3" width="3.7109375" style="204" customWidth="1"/>
    <col min="4" max="4" width="60.7109375" style="204" customWidth="1"/>
    <col min="5" max="5" width="1.7109375" style="206" customWidth="1"/>
    <col min="6" max="17" width="15.7109375" style="204" hidden="1" customWidth="1" outlineLevel="1"/>
    <col min="18" max="18" width="15.7109375" style="204" customWidth="1" collapsed="1"/>
    <col min="19" max="19" width="9.85546875" style="204" bestFit="1" customWidth="1"/>
    <col min="20" max="256" width="9.140625" style="204"/>
    <col min="257" max="259" width="3.7109375" style="204" customWidth="1"/>
    <col min="260" max="260" width="60.7109375" style="204" customWidth="1"/>
    <col min="261" max="261" width="1.7109375" style="204" customWidth="1"/>
    <col min="262" max="273" width="0" style="204" hidden="1" customWidth="1"/>
    <col min="274" max="274" width="15.7109375" style="204" customWidth="1"/>
    <col min="275" max="275" width="9.85546875" style="204" bestFit="1" customWidth="1"/>
    <col min="276" max="512" width="9.140625" style="204"/>
    <col min="513" max="515" width="3.7109375" style="204" customWidth="1"/>
    <col min="516" max="516" width="60.7109375" style="204" customWidth="1"/>
    <col min="517" max="517" width="1.7109375" style="204" customWidth="1"/>
    <col min="518" max="529" width="0" style="204" hidden="1" customWidth="1"/>
    <col min="530" max="530" width="15.7109375" style="204" customWidth="1"/>
    <col min="531" max="531" width="9.85546875" style="204" bestFit="1" customWidth="1"/>
    <col min="532" max="768" width="9.140625" style="204"/>
    <col min="769" max="771" width="3.7109375" style="204" customWidth="1"/>
    <col min="772" max="772" width="60.7109375" style="204" customWidth="1"/>
    <col min="773" max="773" width="1.7109375" style="204" customWidth="1"/>
    <col min="774" max="785" width="0" style="204" hidden="1" customWidth="1"/>
    <col min="786" max="786" width="15.7109375" style="204" customWidth="1"/>
    <col min="787" max="787" width="9.85546875" style="204" bestFit="1" customWidth="1"/>
    <col min="788" max="1024" width="9.140625" style="204"/>
    <col min="1025" max="1027" width="3.7109375" style="204" customWidth="1"/>
    <col min="1028" max="1028" width="60.7109375" style="204" customWidth="1"/>
    <col min="1029" max="1029" width="1.7109375" style="204" customWidth="1"/>
    <col min="1030" max="1041" width="0" style="204" hidden="1" customWidth="1"/>
    <col min="1042" max="1042" width="15.7109375" style="204" customWidth="1"/>
    <col min="1043" max="1043" width="9.85546875" style="204" bestFit="1" customWidth="1"/>
    <col min="1044" max="1280" width="9.140625" style="204"/>
    <col min="1281" max="1283" width="3.7109375" style="204" customWidth="1"/>
    <col min="1284" max="1284" width="60.7109375" style="204" customWidth="1"/>
    <col min="1285" max="1285" width="1.7109375" style="204" customWidth="1"/>
    <col min="1286" max="1297" width="0" style="204" hidden="1" customWidth="1"/>
    <col min="1298" max="1298" width="15.7109375" style="204" customWidth="1"/>
    <col min="1299" max="1299" width="9.85546875" style="204" bestFit="1" customWidth="1"/>
    <col min="1300" max="1536" width="9.140625" style="204"/>
    <col min="1537" max="1539" width="3.7109375" style="204" customWidth="1"/>
    <col min="1540" max="1540" width="60.7109375" style="204" customWidth="1"/>
    <col min="1541" max="1541" width="1.7109375" style="204" customWidth="1"/>
    <col min="1542" max="1553" width="0" style="204" hidden="1" customWidth="1"/>
    <col min="1554" max="1554" width="15.7109375" style="204" customWidth="1"/>
    <col min="1555" max="1555" width="9.85546875" style="204" bestFit="1" customWidth="1"/>
    <col min="1556" max="1792" width="9.140625" style="204"/>
    <col min="1793" max="1795" width="3.7109375" style="204" customWidth="1"/>
    <col min="1796" max="1796" width="60.7109375" style="204" customWidth="1"/>
    <col min="1797" max="1797" width="1.7109375" style="204" customWidth="1"/>
    <col min="1798" max="1809" width="0" style="204" hidden="1" customWidth="1"/>
    <col min="1810" max="1810" width="15.7109375" style="204" customWidth="1"/>
    <col min="1811" max="1811" width="9.85546875" style="204" bestFit="1" customWidth="1"/>
    <col min="1812" max="2048" width="9.140625" style="204"/>
    <col min="2049" max="2051" width="3.7109375" style="204" customWidth="1"/>
    <col min="2052" max="2052" width="60.7109375" style="204" customWidth="1"/>
    <col min="2053" max="2053" width="1.7109375" style="204" customWidth="1"/>
    <col min="2054" max="2065" width="0" style="204" hidden="1" customWidth="1"/>
    <col min="2066" max="2066" width="15.7109375" style="204" customWidth="1"/>
    <col min="2067" max="2067" width="9.85546875" style="204" bestFit="1" customWidth="1"/>
    <col min="2068" max="2304" width="9.140625" style="204"/>
    <col min="2305" max="2307" width="3.7109375" style="204" customWidth="1"/>
    <col min="2308" max="2308" width="60.7109375" style="204" customWidth="1"/>
    <col min="2309" max="2309" width="1.7109375" style="204" customWidth="1"/>
    <col min="2310" max="2321" width="0" style="204" hidden="1" customWidth="1"/>
    <col min="2322" max="2322" width="15.7109375" style="204" customWidth="1"/>
    <col min="2323" max="2323" width="9.85546875" style="204" bestFit="1" customWidth="1"/>
    <col min="2324" max="2560" width="9.140625" style="204"/>
    <col min="2561" max="2563" width="3.7109375" style="204" customWidth="1"/>
    <col min="2564" max="2564" width="60.7109375" style="204" customWidth="1"/>
    <col min="2565" max="2565" width="1.7109375" style="204" customWidth="1"/>
    <col min="2566" max="2577" width="0" style="204" hidden="1" customWidth="1"/>
    <col min="2578" max="2578" width="15.7109375" style="204" customWidth="1"/>
    <col min="2579" max="2579" width="9.85546875" style="204" bestFit="1" customWidth="1"/>
    <col min="2580" max="2816" width="9.140625" style="204"/>
    <col min="2817" max="2819" width="3.7109375" style="204" customWidth="1"/>
    <col min="2820" max="2820" width="60.7109375" style="204" customWidth="1"/>
    <col min="2821" max="2821" width="1.7109375" style="204" customWidth="1"/>
    <col min="2822" max="2833" width="0" style="204" hidden="1" customWidth="1"/>
    <col min="2834" max="2834" width="15.7109375" style="204" customWidth="1"/>
    <col min="2835" max="2835" width="9.85546875" style="204" bestFit="1" customWidth="1"/>
    <col min="2836" max="3072" width="9.140625" style="204"/>
    <col min="3073" max="3075" width="3.7109375" style="204" customWidth="1"/>
    <col min="3076" max="3076" width="60.7109375" style="204" customWidth="1"/>
    <col min="3077" max="3077" width="1.7109375" style="204" customWidth="1"/>
    <col min="3078" max="3089" width="0" style="204" hidden="1" customWidth="1"/>
    <col min="3090" max="3090" width="15.7109375" style="204" customWidth="1"/>
    <col min="3091" max="3091" width="9.85546875" style="204" bestFit="1" customWidth="1"/>
    <col min="3092" max="3328" width="9.140625" style="204"/>
    <col min="3329" max="3331" width="3.7109375" style="204" customWidth="1"/>
    <col min="3332" max="3332" width="60.7109375" style="204" customWidth="1"/>
    <col min="3333" max="3333" width="1.7109375" style="204" customWidth="1"/>
    <col min="3334" max="3345" width="0" style="204" hidden="1" customWidth="1"/>
    <col min="3346" max="3346" width="15.7109375" style="204" customWidth="1"/>
    <col min="3347" max="3347" width="9.85546875" style="204" bestFit="1" customWidth="1"/>
    <col min="3348" max="3584" width="9.140625" style="204"/>
    <col min="3585" max="3587" width="3.7109375" style="204" customWidth="1"/>
    <col min="3588" max="3588" width="60.7109375" style="204" customWidth="1"/>
    <col min="3589" max="3589" width="1.7109375" style="204" customWidth="1"/>
    <col min="3590" max="3601" width="0" style="204" hidden="1" customWidth="1"/>
    <col min="3602" max="3602" width="15.7109375" style="204" customWidth="1"/>
    <col min="3603" max="3603" width="9.85546875" style="204" bestFit="1" customWidth="1"/>
    <col min="3604" max="3840" width="9.140625" style="204"/>
    <col min="3841" max="3843" width="3.7109375" style="204" customWidth="1"/>
    <col min="3844" max="3844" width="60.7109375" style="204" customWidth="1"/>
    <col min="3845" max="3845" width="1.7109375" style="204" customWidth="1"/>
    <col min="3846" max="3857" width="0" style="204" hidden="1" customWidth="1"/>
    <col min="3858" max="3858" width="15.7109375" style="204" customWidth="1"/>
    <col min="3859" max="3859" width="9.85546875" style="204" bestFit="1" customWidth="1"/>
    <col min="3860" max="4096" width="9.140625" style="204"/>
    <col min="4097" max="4099" width="3.7109375" style="204" customWidth="1"/>
    <col min="4100" max="4100" width="60.7109375" style="204" customWidth="1"/>
    <col min="4101" max="4101" width="1.7109375" style="204" customWidth="1"/>
    <col min="4102" max="4113" width="0" style="204" hidden="1" customWidth="1"/>
    <col min="4114" max="4114" width="15.7109375" style="204" customWidth="1"/>
    <col min="4115" max="4115" width="9.85546875" style="204" bestFit="1" customWidth="1"/>
    <col min="4116" max="4352" width="9.140625" style="204"/>
    <col min="4353" max="4355" width="3.7109375" style="204" customWidth="1"/>
    <col min="4356" max="4356" width="60.7109375" style="204" customWidth="1"/>
    <col min="4357" max="4357" width="1.7109375" style="204" customWidth="1"/>
    <col min="4358" max="4369" width="0" style="204" hidden="1" customWidth="1"/>
    <col min="4370" max="4370" width="15.7109375" style="204" customWidth="1"/>
    <col min="4371" max="4371" width="9.85546875" style="204" bestFit="1" customWidth="1"/>
    <col min="4372" max="4608" width="9.140625" style="204"/>
    <col min="4609" max="4611" width="3.7109375" style="204" customWidth="1"/>
    <col min="4612" max="4612" width="60.7109375" style="204" customWidth="1"/>
    <col min="4613" max="4613" width="1.7109375" style="204" customWidth="1"/>
    <col min="4614" max="4625" width="0" style="204" hidden="1" customWidth="1"/>
    <col min="4626" max="4626" width="15.7109375" style="204" customWidth="1"/>
    <col min="4627" max="4627" width="9.85546875" style="204" bestFit="1" customWidth="1"/>
    <col min="4628" max="4864" width="9.140625" style="204"/>
    <col min="4865" max="4867" width="3.7109375" style="204" customWidth="1"/>
    <col min="4868" max="4868" width="60.7109375" style="204" customWidth="1"/>
    <col min="4869" max="4869" width="1.7109375" style="204" customWidth="1"/>
    <col min="4870" max="4881" width="0" style="204" hidden="1" customWidth="1"/>
    <col min="4882" max="4882" width="15.7109375" style="204" customWidth="1"/>
    <col min="4883" max="4883" width="9.85546875" style="204" bestFit="1" customWidth="1"/>
    <col min="4884" max="5120" width="9.140625" style="204"/>
    <col min="5121" max="5123" width="3.7109375" style="204" customWidth="1"/>
    <col min="5124" max="5124" width="60.7109375" style="204" customWidth="1"/>
    <col min="5125" max="5125" width="1.7109375" style="204" customWidth="1"/>
    <col min="5126" max="5137" width="0" style="204" hidden="1" customWidth="1"/>
    <col min="5138" max="5138" width="15.7109375" style="204" customWidth="1"/>
    <col min="5139" max="5139" width="9.85546875" style="204" bestFit="1" customWidth="1"/>
    <col min="5140" max="5376" width="9.140625" style="204"/>
    <col min="5377" max="5379" width="3.7109375" style="204" customWidth="1"/>
    <col min="5380" max="5380" width="60.7109375" style="204" customWidth="1"/>
    <col min="5381" max="5381" width="1.7109375" style="204" customWidth="1"/>
    <col min="5382" max="5393" width="0" style="204" hidden="1" customWidth="1"/>
    <col min="5394" max="5394" width="15.7109375" style="204" customWidth="1"/>
    <col min="5395" max="5395" width="9.85546875" style="204" bestFit="1" customWidth="1"/>
    <col min="5396" max="5632" width="9.140625" style="204"/>
    <col min="5633" max="5635" width="3.7109375" style="204" customWidth="1"/>
    <col min="5636" max="5636" width="60.7109375" style="204" customWidth="1"/>
    <col min="5637" max="5637" width="1.7109375" style="204" customWidth="1"/>
    <col min="5638" max="5649" width="0" style="204" hidden="1" customWidth="1"/>
    <col min="5650" max="5650" width="15.7109375" style="204" customWidth="1"/>
    <col min="5651" max="5651" width="9.85546875" style="204" bestFit="1" customWidth="1"/>
    <col min="5652" max="5888" width="9.140625" style="204"/>
    <col min="5889" max="5891" width="3.7109375" style="204" customWidth="1"/>
    <col min="5892" max="5892" width="60.7109375" style="204" customWidth="1"/>
    <col min="5893" max="5893" width="1.7109375" style="204" customWidth="1"/>
    <col min="5894" max="5905" width="0" style="204" hidden="1" customWidth="1"/>
    <col min="5906" max="5906" width="15.7109375" style="204" customWidth="1"/>
    <col min="5907" max="5907" width="9.85546875" style="204" bestFit="1" customWidth="1"/>
    <col min="5908" max="6144" width="9.140625" style="204"/>
    <col min="6145" max="6147" width="3.7109375" style="204" customWidth="1"/>
    <col min="6148" max="6148" width="60.7109375" style="204" customWidth="1"/>
    <col min="6149" max="6149" width="1.7109375" style="204" customWidth="1"/>
    <col min="6150" max="6161" width="0" style="204" hidden="1" customWidth="1"/>
    <col min="6162" max="6162" width="15.7109375" style="204" customWidth="1"/>
    <col min="6163" max="6163" width="9.85546875" style="204" bestFit="1" customWidth="1"/>
    <col min="6164" max="6400" width="9.140625" style="204"/>
    <col min="6401" max="6403" width="3.7109375" style="204" customWidth="1"/>
    <col min="6404" max="6404" width="60.7109375" style="204" customWidth="1"/>
    <col min="6405" max="6405" width="1.7109375" style="204" customWidth="1"/>
    <col min="6406" max="6417" width="0" style="204" hidden="1" customWidth="1"/>
    <col min="6418" max="6418" width="15.7109375" style="204" customWidth="1"/>
    <col min="6419" max="6419" width="9.85546875" style="204" bestFit="1" customWidth="1"/>
    <col min="6420" max="6656" width="9.140625" style="204"/>
    <col min="6657" max="6659" width="3.7109375" style="204" customWidth="1"/>
    <col min="6660" max="6660" width="60.7109375" style="204" customWidth="1"/>
    <col min="6661" max="6661" width="1.7109375" style="204" customWidth="1"/>
    <col min="6662" max="6673" width="0" style="204" hidden="1" customWidth="1"/>
    <col min="6674" max="6674" width="15.7109375" style="204" customWidth="1"/>
    <col min="6675" max="6675" width="9.85546875" style="204" bestFit="1" customWidth="1"/>
    <col min="6676" max="6912" width="9.140625" style="204"/>
    <col min="6913" max="6915" width="3.7109375" style="204" customWidth="1"/>
    <col min="6916" max="6916" width="60.7109375" style="204" customWidth="1"/>
    <col min="6917" max="6917" width="1.7109375" style="204" customWidth="1"/>
    <col min="6918" max="6929" width="0" style="204" hidden="1" customWidth="1"/>
    <col min="6930" max="6930" width="15.7109375" style="204" customWidth="1"/>
    <col min="6931" max="6931" width="9.85546875" style="204" bestFit="1" customWidth="1"/>
    <col min="6932" max="7168" width="9.140625" style="204"/>
    <col min="7169" max="7171" width="3.7109375" style="204" customWidth="1"/>
    <col min="7172" max="7172" width="60.7109375" style="204" customWidth="1"/>
    <col min="7173" max="7173" width="1.7109375" style="204" customWidth="1"/>
    <col min="7174" max="7185" width="0" style="204" hidden="1" customWidth="1"/>
    <col min="7186" max="7186" width="15.7109375" style="204" customWidth="1"/>
    <col min="7187" max="7187" width="9.85546875" style="204" bestFit="1" customWidth="1"/>
    <col min="7188" max="7424" width="9.140625" style="204"/>
    <col min="7425" max="7427" width="3.7109375" style="204" customWidth="1"/>
    <col min="7428" max="7428" width="60.7109375" style="204" customWidth="1"/>
    <col min="7429" max="7429" width="1.7109375" style="204" customWidth="1"/>
    <col min="7430" max="7441" width="0" style="204" hidden="1" customWidth="1"/>
    <col min="7442" max="7442" width="15.7109375" style="204" customWidth="1"/>
    <col min="7443" max="7443" width="9.85546875" style="204" bestFit="1" customWidth="1"/>
    <col min="7444" max="7680" width="9.140625" style="204"/>
    <col min="7681" max="7683" width="3.7109375" style="204" customWidth="1"/>
    <col min="7684" max="7684" width="60.7109375" style="204" customWidth="1"/>
    <col min="7685" max="7685" width="1.7109375" style="204" customWidth="1"/>
    <col min="7686" max="7697" width="0" style="204" hidden="1" customWidth="1"/>
    <col min="7698" max="7698" width="15.7109375" style="204" customWidth="1"/>
    <col min="7699" max="7699" width="9.85546875" style="204" bestFit="1" customWidth="1"/>
    <col min="7700" max="7936" width="9.140625" style="204"/>
    <col min="7937" max="7939" width="3.7109375" style="204" customWidth="1"/>
    <col min="7940" max="7940" width="60.7109375" style="204" customWidth="1"/>
    <col min="7941" max="7941" width="1.7109375" style="204" customWidth="1"/>
    <col min="7942" max="7953" width="0" style="204" hidden="1" customWidth="1"/>
    <col min="7954" max="7954" width="15.7109375" style="204" customWidth="1"/>
    <col min="7955" max="7955" width="9.85546875" style="204" bestFit="1" customWidth="1"/>
    <col min="7956" max="8192" width="9.140625" style="204"/>
    <col min="8193" max="8195" width="3.7109375" style="204" customWidth="1"/>
    <col min="8196" max="8196" width="60.7109375" style="204" customWidth="1"/>
    <col min="8197" max="8197" width="1.7109375" style="204" customWidth="1"/>
    <col min="8198" max="8209" width="0" style="204" hidden="1" customWidth="1"/>
    <col min="8210" max="8210" width="15.7109375" style="204" customWidth="1"/>
    <col min="8211" max="8211" width="9.85546875" style="204" bestFit="1" customWidth="1"/>
    <col min="8212" max="8448" width="9.140625" style="204"/>
    <col min="8449" max="8451" width="3.7109375" style="204" customWidth="1"/>
    <col min="8452" max="8452" width="60.7109375" style="204" customWidth="1"/>
    <col min="8453" max="8453" width="1.7109375" style="204" customWidth="1"/>
    <col min="8454" max="8465" width="0" style="204" hidden="1" customWidth="1"/>
    <col min="8466" max="8466" width="15.7109375" style="204" customWidth="1"/>
    <col min="8467" max="8467" width="9.85546875" style="204" bestFit="1" customWidth="1"/>
    <col min="8468" max="8704" width="9.140625" style="204"/>
    <col min="8705" max="8707" width="3.7109375" style="204" customWidth="1"/>
    <col min="8708" max="8708" width="60.7109375" style="204" customWidth="1"/>
    <col min="8709" max="8709" width="1.7109375" style="204" customWidth="1"/>
    <col min="8710" max="8721" width="0" style="204" hidden="1" customWidth="1"/>
    <col min="8722" max="8722" width="15.7109375" style="204" customWidth="1"/>
    <col min="8723" max="8723" width="9.85546875" style="204" bestFit="1" customWidth="1"/>
    <col min="8724" max="8960" width="9.140625" style="204"/>
    <col min="8961" max="8963" width="3.7109375" style="204" customWidth="1"/>
    <col min="8964" max="8964" width="60.7109375" style="204" customWidth="1"/>
    <col min="8965" max="8965" width="1.7109375" style="204" customWidth="1"/>
    <col min="8966" max="8977" width="0" style="204" hidden="1" customWidth="1"/>
    <col min="8978" max="8978" width="15.7109375" style="204" customWidth="1"/>
    <col min="8979" max="8979" width="9.85546875" style="204" bestFit="1" customWidth="1"/>
    <col min="8980" max="9216" width="9.140625" style="204"/>
    <col min="9217" max="9219" width="3.7109375" style="204" customWidth="1"/>
    <col min="9220" max="9220" width="60.7109375" style="204" customWidth="1"/>
    <col min="9221" max="9221" width="1.7109375" style="204" customWidth="1"/>
    <col min="9222" max="9233" width="0" style="204" hidden="1" customWidth="1"/>
    <col min="9234" max="9234" width="15.7109375" style="204" customWidth="1"/>
    <col min="9235" max="9235" width="9.85546875" style="204" bestFit="1" customWidth="1"/>
    <col min="9236" max="9472" width="9.140625" style="204"/>
    <col min="9473" max="9475" width="3.7109375" style="204" customWidth="1"/>
    <col min="9476" max="9476" width="60.7109375" style="204" customWidth="1"/>
    <col min="9477" max="9477" width="1.7109375" style="204" customWidth="1"/>
    <col min="9478" max="9489" width="0" style="204" hidden="1" customWidth="1"/>
    <col min="9490" max="9490" width="15.7109375" style="204" customWidth="1"/>
    <col min="9491" max="9491" width="9.85546875" style="204" bestFit="1" customWidth="1"/>
    <col min="9492" max="9728" width="9.140625" style="204"/>
    <col min="9729" max="9731" width="3.7109375" style="204" customWidth="1"/>
    <col min="9732" max="9732" width="60.7109375" style="204" customWidth="1"/>
    <col min="9733" max="9733" width="1.7109375" style="204" customWidth="1"/>
    <col min="9734" max="9745" width="0" style="204" hidden="1" customWidth="1"/>
    <col min="9746" max="9746" width="15.7109375" style="204" customWidth="1"/>
    <col min="9747" max="9747" width="9.85546875" style="204" bestFit="1" customWidth="1"/>
    <col min="9748" max="9984" width="9.140625" style="204"/>
    <col min="9985" max="9987" width="3.7109375" style="204" customWidth="1"/>
    <col min="9988" max="9988" width="60.7109375" style="204" customWidth="1"/>
    <col min="9989" max="9989" width="1.7109375" style="204" customWidth="1"/>
    <col min="9990" max="10001" width="0" style="204" hidden="1" customWidth="1"/>
    <col min="10002" max="10002" width="15.7109375" style="204" customWidth="1"/>
    <col min="10003" max="10003" width="9.85546875" style="204" bestFit="1" customWidth="1"/>
    <col min="10004" max="10240" width="9.140625" style="204"/>
    <col min="10241" max="10243" width="3.7109375" style="204" customWidth="1"/>
    <col min="10244" max="10244" width="60.7109375" style="204" customWidth="1"/>
    <col min="10245" max="10245" width="1.7109375" style="204" customWidth="1"/>
    <col min="10246" max="10257" width="0" style="204" hidden="1" customWidth="1"/>
    <col min="10258" max="10258" width="15.7109375" style="204" customWidth="1"/>
    <col min="10259" max="10259" width="9.85546875" style="204" bestFit="1" customWidth="1"/>
    <col min="10260" max="10496" width="9.140625" style="204"/>
    <col min="10497" max="10499" width="3.7109375" style="204" customWidth="1"/>
    <col min="10500" max="10500" width="60.7109375" style="204" customWidth="1"/>
    <col min="10501" max="10501" width="1.7109375" style="204" customWidth="1"/>
    <col min="10502" max="10513" width="0" style="204" hidden="1" customWidth="1"/>
    <col min="10514" max="10514" width="15.7109375" style="204" customWidth="1"/>
    <col min="10515" max="10515" width="9.85546875" style="204" bestFit="1" customWidth="1"/>
    <col min="10516" max="10752" width="9.140625" style="204"/>
    <col min="10753" max="10755" width="3.7109375" style="204" customWidth="1"/>
    <col min="10756" max="10756" width="60.7109375" style="204" customWidth="1"/>
    <col min="10757" max="10757" width="1.7109375" style="204" customWidth="1"/>
    <col min="10758" max="10769" width="0" style="204" hidden="1" customWidth="1"/>
    <col min="10770" max="10770" width="15.7109375" style="204" customWidth="1"/>
    <col min="10771" max="10771" width="9.85546875" style="204" bestFit="1" customWidth="1"/>
    <col min="10772" max="11008" width="9.140625" style="204"/>
    <col min="11009" max="11011" width="3.7109375" style="204" customWidth="1"/>
    <col min="11012" max="11012" width="60.7109375" style="204" customWidth="1"/>
    <col min="11013" max="11013" width="1.7109375" style="204" customWidth="1"/>
    <col min="11014" max="11025" width="0" style="204" hidden="1" customWidth="1"/>
    <col min="11026" max="11026" width="15.7109375" style="204" customWidth="1"/>
    <col min="11027" max="11027" width="9.85546875" style="204" bestFit="1" customWidth="1"/>
    <col min="11028" max="11264" width="9.140625" style="204"/>
    <col min="11265" max="11267" width="3.7109375" style="204" customWidth="1"/>
    <col min="11268" max="11268" width="60.7109375" style="204" customWidth="1"/>
    <col min="11269" max="11269" width="1.7109375" style="204" customWidth="1"/>
    <col min="11270" max="11281" width="0" style="204" hidden="1" customWidth="1"/>
    <col min="11282" max="11282" width="15.7109375" style="204" customWidth="1"/>
    <col min="11283" max="11283" width="9.85546875" style="204" bestFit="1" customWidth="1"/>
    <col min="11284" max="11520" width="9.140625" style="204"/>
    <col min="11521" max="11523" width="3.7109375" style="204" customWidth="1"/>
    <col min="11524" max="11524" width="60.7109375" style="204" customWidth="1"/>
    <col min="11525" max="11525" width="1.7109375" style="204" customWidth="1"/>
    <col min="11526" max="11537" width="0" style="204" hidden="1" customWidth="1"/>
    <col min="11538" max="11538" width="15.7109375" style="204" customWidth="1"/>
    <col min="11539" max="11539" width="9.85546875" style="204" bestFit="1" customWidth="1"/>
    <col min="11540" max="11776" width="9.140625" style="204"/>
    <col min="11777" max="11779" width="3.7109375" style="204" customWidth="1"/>
    <col min="11780" max="11780" width="60.7109375" style="204" customWidth="1"/>
    <col min="11781" max="11781" width="1.7109375" style="204" customWidth="1"/>
    <col min="11782" max="11793" width="0" style="204" hidden="1" customWidth="1"/>
    <col min="11794" max="11794" width="15.7109375" style="204" customWidth="1"/>
    <col min="11795" max="11795" width="9.85546875" style="204" bestFit="1" customWidth="1"/>
    <col min="11796" max="12032" width="9.140625" style="204"/>
    <col min="12033" max="12035" width="3.7109375" style="204" customWidth="1"/>
    <col min="12036" max="12036" width="60.7109375" style="204" customWidth="1"/>
    <col min="12037" max="12037" width="1.7109375" style="204" customWidth="1"/>
    <col min="12038" max="12049" width="0" style="204" hidden="1" customWidth="1"/>
    <col min="12050" max="12050" width="15.7109375" style="204" customWidth="1"/>
    <col min="12051" max="12051" width="9.85546875" style="204" bestFit="1" customWidth="1"/>
    <col min="12052" max="12288" width="9.140625" style="204"/>
    <col min="12289" max="12291" width="3.7109375" style="204" customWidth="1"/>
    <col min="12292" max="12292" width="60.7109375" style="204" customWidth="1"/>
    <col min="12293" max="12293" width="1.7109375" style="204" customWidth="1"/>
    <col min="12294" max="12305" width="0" style="204" hidden="1" customWidth="1"/>
    <col min="12306" max="12306" width="15.7109375" style="204" customWidth="1"/>
    <col min="12307" max="12307" width="9.85546875" style="204" bestFit="1" customWidth="1"/>
    <col min="12308" max="12544" width="9.140625" style="204"/>
    <col min="12545" max="12547" width="3.7109375" style="204" customWidth="1"/>
    <col min="12548" max="12548" width="60.7109375" style="204" customWidth="1"/>
    <col min="12549" max="12549" width="1.7109375" style="204" customWidth="1"/>
    <col min="12550" max="12561" width="0" style="204" hidden="1" customWidth="1"/>
    <col min="12562" max="12562" width="15.7109375" style="204" customWidth="1"/>
    <col min="12563" max="12563" width="9.85546875" style="204" bestFit="1" customWidth="1"/>
    <col min="12564" max="12800" width="9.140625" style="204"/>
    <col min="12801" max="12803" width="3.7109375" style="204" customWidth="1"/>
    <col min="12804" max="12804" width="60.7109375" style="204" customWidth="1"/>
    <col min="12805" max="12805" width="1.7109375" style="204" customWidth="1"/>
    <col min="12806" max="12817" width="0" style="204" hidden="1" customWidth="1"/>
    <col min="12818" max="12818" width="15.7109375" style="204" customWidth="1"/>
    <col min="12819" max="12819" width="9.85546875" style="204" bestFit="1" customWidth="1"/>
    <col min="12820" max="13056" width="9.140625" style="204"/>
    <col min="13057" max="13059" width="3.7109375" style="204" customWidth="1"/>
    <col min="13060" max="13060" width="60.7109375" style="204" customWidth="1"/>
    <col min="13061" max="13061" width="1.7109375" style="204" customWidth="1"/>
    <col min="13062" max="13073" width="0" style="204" hidden="1" customWidth="1"/>
    <col min="13074" max="13074" width="15.7109375" style="204" customWidth="1"/>
    <col min="13075" max="13075" width="9.85546875" style="204" bestFit="1" customWidth="1"/>
    <col min="13076" max="13312" width="9.140625" style="204"/>
    <col min="13313" max="13315" width="3.7109375" style="204" customWidth="1"/>
    <col min="13316" max="13316" width="60.7109375" style="204" customWidth="1"/>
    <col min="13317" max="13317" width="1.7109375" style="204" customWidth="1"/>
    <col min="13318" max="13329" width="0" style="204" hidden="1" customWidth="1"/>
    <col min="13330" max="13330" width="15.7109375" style="204" customWidth="1"/>
    <col min="13331" max="13331" width="9.85546875" style="204" bestFit="1" customWidth="1"/>
    <col min="13332" max="13568" width="9.140625" style="204"/>
    <col min="13569" max="13571" width="3.7109375" style="204" customWidth="1"/>
    <col min="13572" max="13572" width="60.7109375" style="204" customWidth="1"/>
    <col min="13573" max="13573" width="1.7109375" style="204" customWidth="1"/>
    <col min="13574" max="13585" width="0" style="204" hidden="1" customWidth="1"/>
    <col min="13586" max="13586" width="15.7109375" style="204" customWidth="1"/>
    <col min="13587" max="13587" width="9.85546875" style="204" bestFit="1" customWidth="1"/>
    <col min="13588" max="13824" width="9.140625" style="204"/>
    <col min="13825" max="13827" width="3.7109375" style="204" customWidth="1"/>
    <col min="13828" max="13828" width="60.7109375" style="204" customWidth="1"/>
    <col min="13829" max="13829" width="1.7109375" style="204" customWidth="1"/>
    <col min="13830" max="13841" width="0" style="204" hidden="1" customWidth="1"/>
    <col min="13842" max="13842" width="15.7109375" style="204" customWidth="1"/>
    <col min="13843" max="13843" width="9.85546875" style="204" bestFit="1" customWidth="1"/>
    <col min="13844" max="14080" width="9.140625" style="204"/>
    <col min="14081" max="14083" width="3.7109375" style="204" customWidth="1"/>
    <col min="14084" max="14084" width="60.7109375" style="204" customWidth="1"/>
    <col min="14085" max="14085" width="1.7109375" style="204" customWidth="1"/>
    <col min="14086" max="14097" width="0" style="204" hidden="1" customWidth="1"/>
    <col min="14098" max="14098" width="15.7109375" style="204" customWidth="1"/>
    <col min="14099" max="14099" width="9.85546875" style="204" bestFit="1" customWidth="1"/>
    <col min="14100" max="14336" width="9.140625" style="204"/>
    <col min="14337" max="14339" width="3.7109375" style="204" customWidth="1"/>
    <col min="14340" max="14340" width="60.7109375" style="204" customWidth="1"/>
    <col min="14341" max="14341" width="1.7109375" style="204" customWidth="1"/>
    <col min="14342" max="14353" width="0" style="204" hidden="1" customWidth="1"/>
    <col min="14354" max="14354" width="15.7109375" style="204" customWidth="1"/>
    <col min="14355" max="14355" width="9.85546875" style="204" bestFit="1" customWidth="1"/>
    <col min="14356" max="14592" width="9.140625" style="204"/>
    <col min="14593" max="14595" width="3.7109375" style="204" customWidth="1"/>
    <col min="14596" max="14596" width="60.7109375" style="204" customWidth="1"/>
    <col min="14597" max="14597" width="1.7109375" style="204" customWidth="1"/>
    <col min="14598" max="14609" width="0" style="204" hidden="1" customWidth="1"/>
    <col min="14610" max="14610" width="15.7109375" style="204" customWidth="1"/>
    <col min="14611" max="14611" width="9.85546875" style="204" bestFit="1" customWidth="1"/>
    <col min="14612" max="14848" width="9.140625" style="204"/>
    <col min="14849" max="14851" width="3.7109375" style="204" customWidth="1"/>
    <col min="14852" max="14852" width="60.7109375" style="204" customWidth="1"/>
    <col min="14853" max="14853" width="1.7109375" style="204" customWidth="1"/>
    <col min="14854" max="14865" width="0" style="204" hidden="1" customWidth="1"/>
    <col min="14866" max="14866" width="15.7109375" style="204" customWidth="1"/>
    <col min="14867" max="14867" width="9.85546875" style="204" bestFit="1" customWidth="1"/>
    <col min="14868" max="15104" width="9.140625" style="204"/>
    <col min="15105" max="15107" width="3.7109375" style="204" customWidth="1"/>
    <col min="15108" max="15108" width="60.7109375" style="204" customWidth="1"/>
    <col min="15109" max="15109" width="1.7109375" style="204" customWidth="1"/>
    <col min="15110" max="15121" width="0" style="204" hidden="1" customWidth="1"/>
    <col min="15122" max="15122" width="15.7109375" style="204" customWidth="1"/>
    <col min="15123" max="15123" width="9.85546875" style="204" bestFit="1" customWidth="1"/>
    <col min="15124" max="15360" width="9.140625" style="204"/>
    <col min="15361" max="15363" width="3.7109375" style="204" customWidth="1"/>
    <col min="15364" max="15364" width="60.7109375" style="204" customWidth="1"/>
    <col min="15365" max="15365" width="1.7109375" style="204" customWidth="1"/>
    <col min="15366" max="15377" width="0" style="204" hidden="1" customWidth="1"/>
    <col min="15378" max="15378" width="15.7109375" style="204" customWidth="1"/>
    <col min="15379" max="15379" width="9.85546875" style="204" bestFit="1" customWidth="1"/>
    <col min="15380" max="15616" width="9.140625" style="204"/>
    <col min="15617" max="15619" width="3.7109375" style="204" customWidth="1"/>
    <col min="15620" max="15620" width="60.7109375" style="204" customWidth="1"/>
    <col min="15621" max="15621" width="1.7109375" style="204" customWidth="1"/>
    <col min="15622" max="15633" width="0" style="204" hidden="1" customWidth="1"/>
    <col min="15634" max="15634" width="15.7109375" style="204" customWidth="1"/>
    <col min="15635" max="15635" width="9.85546875" style="204" bestFit="1" customWidth="1"/>
    <col min="15636" max="15872" width="9.140625" style="204"/>
    <col min="15873" max="15875" width="3.7109375" style="204" customWidth="1"/>
    <col min="15876" max="15876" width="60.7109375" style="204" customWidth="1"/>
    <col min="15877" max="15877" width="1.7109375" style="204" customWidth="1"/>
    <col min="15878" max="15889" width="0" style="204" hidden="1" customWidth="1"/>
    <col min="15890" max="15890" width="15.7109375" style="204" customWidth="1"/>
    <col min="15891" max="15891" width="9.85546875" style="204" bestFit="1" customWidth="1"/>
    <col min="15892" max="16128" width="9.140625" style="204"/>
    <col min="16129" max="16131" width="3.7109375" style="204" customWidth="1"/>
    <col min="16132" max="16132" width="60.7109375" style="204" customWidth="1"/>
    <col min="16133" max="16133" width="1.7109375" style="204" customWidth="1"/>
    <col min="16134" max="16145" width="0" style="204" hidden="1" customWidth="1"/>
    <col min="16146" max="16146" width="15.7109375" style="204" customWidth="1"/>
    <col min="16147" max="16147" width="9.85546875" style="204" bestFit="1" customWidth="1"/>
    <col min="16148" max="16384" width="9.140625" style="204"/>
  </cols>
  <sheetData>
    <row r="1" spans="1:18">
      <c r="A1" s="320" t="s">
        <v>667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</row>
    <row r="2" spans="1:18">
      <c r="A2" s="321" t="s">
        <v>668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</row>
    <row r="3" spans="1:18">
      <c r="A3" s="320" t="s">
        <v>669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0"/>
      <c r="Q3" s="320"/>
      <c r="R3" s="320"/>
    </row>
    <row r="4" spans="1:18" ht="5.0999999999999996" customHeight="1">
      <c r="A4" s="205"/>
      <c r="B4" s="205"/>
      <c r="C4" s="205"/>
      <c r="D4" s="205"/>
    </row>
    <row r="5" spans="1:18">
      <c r="A5" s="320" t="s">
        <v>729</v>
      </c>
      <c r="B5" s="320"/>
      <c r="C5" s="320"/>
      <c r="D5" s="320"/>
      <c r="E5" s="320"/>
      <c r="F5" s="320"/>
      <c r="G5" s="320"/>
      <c r="H5" s="320"/>
      <c r="I5" s="320"/>
      <c r="J5" s="320"/>
      <c r="K5" s="320"/>
      <c r="L5" s="320"/>
      <c r="M5" s="320"/>
      <c r="N5" s="320"/>
      <c r="O5" s="320"/>
      <c r="P5" s="320"/>
      <c r="Q5" s="320"/>
      <c r="R5" s="320"/>
    </row>
    <row r="6" spans="1:18">
      <c r="A6" s="321"/>
      <c r="B6" s="321"/>
      <c r="C6" s="321"/>
      <c r="D6" s="321"/>
      <c r="E6" s="321"/>
      <c r="F6" s="321"/>
      <c r="G6" s="321"/>
      <c r="H6" s="321"/>
      <c r="I6" s="321"/>
      <c r="J6" s="321"/>
      <c r="K6" s="321"/>
      <c r="L6" s="321"/>
      <c r="M6" s="321"/>
      <c r="N6" s="321"/>
      <c r="O6" s="321"/>
      <c r="P6" s="321"/>
      <c r="Q6" s="321"/>
      <c r="R6" s="321"/>
    </row>
    <row r="7" spans="1:18" ht="5.0999999999999996" customHeight="1"/>
    <row r="8" spans="1:18">
      <c r="F8" s="207">
        <v>42400</v>
      </c>
      <c r="G8" s="207">
        <v>42429</v>
      </c>
      <c r="H8" s="207">
        <v>42460</v>
      </c>
      <c r="I8" s="207">
        <v>42490</v>
      </c>
      <c r="J8" s="207">
        <v>42521</v>
      </c>
      <c r="K8" s="207">
        <v>42551</v>
      </c>
      <c r="L8" s="207">
        <v>42582</v>
      </c>
      <c r="M8" s="207">
        <v>42613</v>
      </c>
      <c r="N8" s="207">
        <v>42643</v>
      </c>
      <c r="O8" s="207">
        <v>42674</v>
      </c>
      <c r="P8" s="207">
        <v>42704</v>
      </c>
      <c r="Q8" s="207">
        <v>42735</v>
      </c>
    </row>
    <row r="9" spans="1:18">
      <c r="A9" s="208" t="s">
        <v>704</v>
      </c>
    </row>
    <row r="10" spans="1:18">
      <c r="B10" s="208" t="s">
        <v>705</v>
      </c>
    </row>
    <row r="11" spans="1:18" ht="5.0999999999999996" customHeight="1">
      <c r="B11" s="208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</row>
    <row r="12" spans="1:18">
      <c r="C12" s="204" t="s">
        <v>706</v>
      </c>
      <c r="F12" s="213">
        <f>+[1]sfpos!F12</f>
        <v>1331902.9900000002</v>
      </c>
      <c r="G12" s="213">
        <f>+[1]sfpos!G12</f>
        <v>1832825.7100000004</v>
      </c>
      <c r="H12" s="213">
        <f>+[1]sfpos!H12</f>
        <v>1974064.8700000006</v>
      </c>
      <c r="I12" s="213">
        <f>+[1]sfpos!I12</f>
        <v>1974064.8700000006</v>
      </c>
      <c r="J12" s="213">
        <f>+[1]sfpos!J12</f>
        <v>1974064.8700000006</v>
      </c>
      <c r="K12" s="213">
        <f>+[1]sfpos!K12</f>
        <v>1974064.8700000006</v>
      </c>
      <c r="L12" s="213">
        <f>+[1]sfpos!L12</f>
        <v>1974064.8700000006</v>
      </c>
      <c r="M12" s="213">
        <f>+[1]sfpos!M12</f>
        <v>1974064.8700000006</v>
      </c>
      <c r="N12" s="213">
        <f>+[1]sfpos!N12</f>
        <v>1974064.8700000006</v>
      </c>
      <c r="O12" s="213">
        <f>+[1]sfpos!O12</f>
        <v>1974064.8700000006</v>
      </c>
      <c r="P12" s="213">
        <f>+[1]sfpos!P12</f>
        <v>1974064.8700000006</v>
      </c>
      <c r="Q12" s="213">
        <f>+[1]sfpos!Q12</f>
        <v>1974064.8700000006</v>
      </c>
      <c r="R12" s="213">
        <f>sfpos!R12</f>
        <v>702563.87000000046</v>
      </c>
    </row>
    <row r="13" spans="1:18">
      <c r="C13" s="204" t="s">
        <v>708</v>
      </c>
      <c r="F13" s="213">
        <f>+[1]sfpos!F23</f>
        <v>155908.79999999999</v>
      </c>
      <c r="G13" s="213">
        <f>+[1]sfpos!G23</f>
        <v>155908.79999999999</v>
      </c>
      <c r="H13" s="213">
        <f>+[1]sfpos!H23</f>
        <v>172858.80000000005</v>
      </c>
      <c r="I13" s="213">
        <f>+[1]sfpos!I23</f>
        <v>172858.80000000005</v>
      </c>
      <c r="J13" s="213">
        <f>+[1]sfpos!J23</f>
        <v>172858.80000000005</v>
      </c>
      <c r="K13" s="213">
        <f>+[1]sfpos!K23</f>
        <v>172858.80000000005</v>
      </c>
      <c r="L13" s="213">
        <f>+[1]sfpos!L23</f>
        <v>172858.80000000005</v>
      </c>
      <c r="M13" s="213">
        <f>+[1]sfpos!M23</f>
        <v>172858.80000000005</v>
      </c>
      <c r="N13" s="213">
        <f>+[1]sfpos!N23</f>
        <v>172858.80000000005</v>
      </c>
      <c r="O13" s="213">
        <f>+[1]sfpos!O23</f>
        <v>172858.80000000005</v>
      </c>
      <c r="P13" s="213">
        <f>+[1]sfpos!P23</f>
        <v>172858.80000000005</v>
      </c>
      <c r="Q13" s="213">
        <f>+[1]sfpos!Q23</f>
        <v>172858.80000000005</v>
      </c>
      <c r="R13" s="213">
        <f>sfpos!R23-16019</f>
        <v>156839.80000000005</v>
      </c>
    </row>
    <row r="14" spans="1:18">
      <c r="C14" s="204" t="s">
        <v>709</v>
      </c>
      <c r="F14" s="213">
        <f>+[1]sfpos!F29</f>
        <v>1194194.52</v>
      </c>
      <c r="G14" s="213">
        <f>+[1]sfpos!G29</f>
        <v>1152548.51</v>
      </c>
      <c r="H14" s="213">
        <f>+[1]sfpos!H29</f>
        <v>1170832.3699999999</v>
      </c>
      <c r="I14" s="213">
        <f>+[1]sfpos!I29</f>
        <v>1170832.3699999999</v>
      </c>
      <c r="J14" s="213">
        <f>+[1]sfpos!J29</f>
        <v>1170832.3699999999</v>
      </c>
      <c r="K14" s="213">
        <f>+[1]sfpos!K29</f>
        <v>1170832.3699999999</v>
      </c>
      <c r="L14" s="213">
        <f>+[1]sfpos!L29</f>
        <v>1170832.3699999999</v>
      </c>
      <c r="M14" s="213">
        <f>+[1]sfpos!M29</f>
        <v>1170832.3699999999</v>
      </c>
      <c r="N14" s="213">
        <f>+[1]sfpos!N29</f>
        <v>1170832.3699999999</v>
      </c>
      <c r="O14" s="213">
        <f>+[1]sfpos!O29</f>
        <v>1170832.3699999999</v>
      </c>
      <c r="P14" s="213">
        <f>+[1]sfpos!P29</f>
        <v>1170832.3699999999</v>
      </c>
      <c r="Q14" s="213">
        <f>+[1]sfpos!Q29</f>
        <v>1170832.3699999999</v>
      </c>
      <c r="R14" s="213">
        <f>sfpos!R29</f>
        <v>1170832.3699999999</v>
      </c>
    </row>
    <row r="15" spans="1:18">
      <c r="C15" s="204" t="s">
        <v>710</v>
      </c>
      <c r="F15" s="213">
        <f>+[1]sfpos!F35</f>
        <v>181583.57</v>
      </c>
      <c r="G15" s="213">
        <f>+[1]sfpos!G35</f>
        <v>230853.88</v>
      </c>
      <c r="H15" s="213">
        <f>+[1]sfpos!H35</f>
        <v>437207.32</v>
      </c>
      <c r="I15" s="213">
        <f>+[1]sfpos!I35</f>
        <v>437207.32</v>
      </c>
      <c r="J15" s="213">
        <f>+[1]sfpos!J35</f>
        <v>437207.32</v>
      </c>
      <c r="K15" s="213">
        <f>+[1]sfpos!K35</f>
        <v>437207.32</v>
      </c>
      <c r="L15" s="213">
        <f>+[1]sfpos!L35</f>
        <v>437207.32</v>
      </c>
      <c r="M15" s="213">
        <f>+[1]sfpos!M35</f>
        <v>437207.32</v>
      </c>
      <c r="N15" s="213">
        <f>+[1]sfpos!N35</f>
        <v>437207.32</v>
      </c>
      <c r="O15" s="213">
        <f>+[1]sfpos!O35</f>
        <v>437207.32</v>
      </c>
      <c r="P15" s="213">
        <f>+[1]sfpos!P35</f>
        <v>437207.32</v>
      </c>
      <c r="Q15" s="213">
        <f>+[1]sfpos!Q35</f>
        <v>437207.32</v>
      </c>
      <c r="R15" s="213">
        <f>sfpos!R35</f>
        <v>437207.32</v>
      </c>
    </row>
    <row r="16" spans="1:18" ht="5.0999999999999996" customHeight="1">
      <c r="F16" s="213"/>
      <c r="G16" s="213"/>
      <c r="H16" s="213"/>
      <c r="I16" s="213"/>
      <c r="J16" s="213"/>
      <c r="K16" s="213"/>
      <c r="L16" s="213"/>
      <c r="M16" s="213"/>
      <c r="N16" s="213"/>
      <c r="O16" s="213"/>
      <c r="P16" s="213"/>
      <c r="Q16" s="213"/>
      <c r="R16" s="213"/>
    </row>
    <row r="17" spans="1:21">
      <c r="D17" s="210" t="s">
        <v>711</v>
      </c>
      <c r="F17" s="211">
        <f>+SUM(F11:F16)</f>
        <v>2863589.8800000004</v>
      </c>
      <c r="G17" s="211">
        <f t="shared" ref="G17:Q17" si="0">+SUM(G11:G16)</f>
        <v>3372136.9000000004</v>
      </c>
      <c r="H17" s="211">
        <f t="shared" si="0"/>
        <v>3754963.3600000008</v>
      </c>
      <c r="I17" s="211">
        <f t="shared" si="0"/>
        <v>3754963.3600000008</v>
      </c>
      <c r="J17" s="211">
        <f t="shared" si="0"/>
        <v>3754963.3600000008</v>
      </c>
      <c r="K17" s="211">
        <f t="shared" si="0"/>
        <v>3754963.3600000008</v>
      </c>
      <c r="L17" s="211">
        <f t="shared" si="0"/>
        <v>3754963.3600000008</v>
      </c>
      <c r="M17" s="211">
        <f t="shared" si="0"/>
        <v>3754963.3600000008</v>
      </c>
      <c r="N17" s="211">
        <f t="shared" si="0"/>
        <v>3754963.3600000008</v>
      </c>
      <c r="O17" s="211">
        <f t="shared" si="0"/>
        <v>3754963.3600000008</v>
      </c>
      <c r="P17" s="211">
        <f t="shared" si="0"/>
        <v>3754963.3600000008</v>
      </c>
      <c r="Q17" s="211">
        <f t="shared" si="0"/>
        <v>3754963.3600000008</v>
      </c>
      <c r="R17" s="211">
        <f>R12+R13+R14+R15</f>
        <v>2467443.3600000003</v>
      </c>
    </row>
    <row r="18" spans="1:21" ht="5.0999999999999996" customHeight="1"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</row>
    <row r="19" spans="1:21">
      <c r="B19" s="208" t="s">
        <v>712</v>
      </c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</row>
    <row r="20" spans="1:21" ht="5.0999999999999996" customHeight="1">
      <c r="B20" s="208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</row>
    <row r="21" spans="1:21">
      <c r="C21" s="204" t="s">
        <v>713</v>
      </c>
      <c r="F21" s="213">
        <f>+[1]sfpos!F52</f>
        <v>27434880.300000004</v>
      </c>
      <c r="G21" s="213">
        <f>+[1]sfpos!G52</f>
        <v>27251998.330000002</v>
      </c>
      <c r="H21" s="213">
        <f>+[1]sfpos!H52</f>
        <v>27100426.740000002</v>
      </c>
      <c r="I21" s="213">
        <f>+[1]sfpos!I52</f>
        <v>27100426.740000002</v>
      </c>
      <c r="J21" s="213">
        <f>+[1]sfpos!J52</f>
        <v>27100426.740000002</v>
      </c>
      <c r="K21" s="213">
        <f>+[1]sfpos!K52</f>
        <v>27100426.740000002</v>
      </c>
      <c r="L21" s="213">
        <f>+[1]sfpos!L52</f>
        <v>27100426.740000002</v>
      </c>
      <c r="M21" s="213">
        <f>+[1]sfpos!M52</f>
        <v>27100426.740000002</v>
      </c>
      <c r="N21" s="213">
        <f>+[1]sfpos!N52</f>
        <v>27100426.740000002</v>
      </c>
      <c r="O21" s="213">
        <f>+[1]sfpos!O52</f>
        <v>27100426.740000002</v>
      </c>
      <c r="P21" s="213">
        <f>+[1]sfpos!P52</f>
        <v>27100426.740000002</v>
      </c>
      <c r="Q21" s="213">
        <f>+[1]sfpos!Q52</f>
        <v>27100426.740000002</v>
      </c>
      <c r="R21" s="213">
        <f>sfpos!R52</f>
        <v>27100426.740000002</v>
      </c>
      <c r="S21" s="219"/>
      <c r="T21" s="219"/>
      <c r="U21" s="219"/>
    </row>
    <row r="22" spans="1:21">
      <c r="C22" s="204" t="s">
        <v>714</v>
      </c>
      <c r="F22" s="213">
        <f>+[1]sfpos!F90</f>
        <v>0</v>
      </c>
      <c r="G22" s="213">
        <f>+[1]sfpos!G90</f>
        <v>0</v>
      </c>
      <c r="H22" s="213">
        <f>+[1]sfpos!H90</f>
        <v>0</v>
      </c>
      <c r="I22" s="213">
        <f>+[1]sfpos!I90</f>
        <v>0</v>
      </c>
      <c r="J22" s="213">
        <f>+[1]sfpos!J90</f>
        <v>0</v>
      </c>
      <c r="K22" s="213">
        <f>+[1]sfpos!K90</f>
        <v>0</v>
      </c>
      <c r="L22" s="213">
        <f>+[1]sfpos!L90</f>
        <v>0</v>
      </c>
      <c r="M22" s="213">
        <f>+[1]sfpos!M90</f>
        <v>0</v>
      </c>
      <c r="N22" s="213">
        <f>+[1]sfpos!N90</f>
        <v>0</v>
      </c>
      <c r="O22" s="213">
        <f>+[1]sfpos!O90</f>
        <v>0</v>
      </c>
      <c r="P22" s="213">
        <f>+[1]sfpos!P90</f>
        <v>0</v>
      </c>
      <c r="Q22" s="213">
        <f>+[1]sfpos!Q90</f>
        <v>0</v>
      </c>
      <c r="R22" s="213">
        <f>+Q22</f>
        <v>0</v>
      </c>
      <c r="S22" s="219"/>
      <c r="T22" s="219"/>
      <c r="U22" s="219"/>
    </row>
    <row r="23" spans="1:21" ht="5.0999999999999996" customHeight="1"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9"/>
      <c r="T23" s="219"/>
      <c r="U23" s="219"/>
    </row>
    <row r="24" spans="1:21">
      <c r="D24" s="210" t="s">
        <v>715</v>
      </c>
      <c r="F24" s="211">
        <f>+SUM(F20:F23)</f>
        <v>27434880.300000004</v>
      </c>
      <c r="G24" s="211">
        <f t="shared" ref="G24:Q24" si="1">+SUM(G20:G23)</f>
        <v>27251998.330000002</v>
      </c>
      <c r="H24" s="211">
        <f t="shared" si="1"/>
        <v>27100426.740000002</v>
      </c>
      <c r="I24" s="211">
        <f t="shared" si="1"/>
        <v>27100426.740000002</v>
      </c>
      <c r="J24" s="211">
        <f t="shared" si="1"/>
        <v>27100426.740000002</v>
      </c>
      <c r="K24" s="211">
        <f t="shared" si="1"/>
        <v>27100426.740000002</v>
      </c>
      <c r="L24" s="211">
        <f t="shared" si="1"/>
        <v>27100426.740000002</v>
      </c>
      <c r="M24" s="211">
        <f t="shared" si="1"/>
        <v>27100426.740000002</v>
      </c>
      <c r="N24" s="211">
        <f t="shared" si="1"/>
        <v>27100426.740000002</v>
      </c>
      <c r="O24" s="211">
        <f t="shared" si="1"/>
        <v>27100426.740000002</v>
      </c>
      <c r="P24" s="211">
        <f t="shared" si="1"/>
        <v>27100426.740000002</v>
      </c>
      <c r="Q24" s="211">
        <f t="shared" si="1"/>
        <v>27100426.740000002</v>
      </c>
      <c r="R24" s="211">
        <f>+Q24</f>
        <v>27100426.740000002</v>
      </c>
    </row>
    <row r="25" spans="1:21" ht="5.0999999999999996" customHeight="1"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</row>
    <row r="26" spans="1:21" ht="12.75" thickBot="1">
      <c r="D26" s="210" t="s">
        <v>716</v>
      </c>
      <c r="F26" s="214">
        <f>+F24+F17</f>
        <v>30298470.180000003</v>
      </c>
      <c r="G26" s="214">
        <f t="shared" ref="G26:Q26" si="2">+G24+G17</f>
        <v>30624135.230000004</v>
      </c>
      <c r="H26" s="214">
        <f t="shared" si="2"/>
        <v>30855390.100000001</v>
      </c>
      <c r="I26" s="214">
        <f t="shared" si="2"/>
        <v>30855390.100000001</v>
      </c>
      <c r="J26" s="214">
        <f t="shared" si="2"/>
        <v>30855390.100000001</v>
      </c>
      <c r="K26" s="214">
        <f t="shared" si="2"/>
        <v>30855390.100000001</v>
      </c>
      <c r="L26" s="214">
        <f t="shared" si="2"/>
        <v>30855390.100000001</v>
      </c>
      <c r="M26" s="214">
        <f t="shared" si="2"/>
        <v>30855390.100000001</v>
      </c>
      <c r="N26" s="214">
        <f t="shared" si="2"/>
        <v>30855390.100000001</v>
      </c>
      <c r="O26" s="214">
        <f t="shared" si="2"/>
        <v>30855390.100000001</v>
      </c>
      <c r="P26" s="214">
        <f t="shared" si="2"/>
        <v>30855390.100000001</v>
      </c>
      <c r="Q26" s="214">
        <f t="shared" si="2"/>
        <v>30855390.100000001</v>
      </c>
      <c r="R26" s="214">
        <f>R17+R24</f>
        <v>29567870.100000001</v>
      </c>
    </row>
    <row r="27" spans="1:21" ht="5.0999999999999996" customHeight="1" thickTop="1"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</row>
    <row r="28" spans="1:21"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</row>
    <row r="29" spans="1:21">
      <c r="A29" s="208" t="s">
        <v>564</v>
      </c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</row>
    <row r="30" spans="1:21">
      <c r="B30" s="208" t="s">
        <v>717</v>
      </c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</row>
    <row r="31" spans="1:21" ht="5.0999999999999996" customHeight="1">
      <c r="F31" s="186"/>
      <c r="G31" s="186"/>
      <c r="H31" s="186"/>
      <c r="I31" s="186"/>
      <c r="J31" s="186"/>
      <c r="K31" s="186"/>
      <c r="L31" s="186"/>
      <c r="M31" s="186"/>
      <c r="N31" s="186"/>
      <c r="O31" s="186"/>
      <c r="P31" s="186"/>
      <c r="Q31" s="186"/>
      <c r="R31" s="186"/>
    </row>
    <row r="32" spans="1:21">
      <c r="C32" s="204" t="s">
        <v>718</v>
      </c>
      <c r="F32" s="213">
        <f>+[1]sfpos!F101</f>
        <v>589691.80000000005</v>
      </c>
      <c r="G32" s="213">
        <f>+[1]sfpos!G101</f>
        <v>589691.80000000005</v>
      </c>
      <c r="H32" s="213">
        <f>+[1]sfpos!H101</f>
        <v>589691.80000000016</v>
      </c>
      <c r="I32" s="213">
        <f>+[1]sfpos!I101</f>
        <v>589691.80000000016</v>
      </c>
      <c r="J32" s="213">
        <f>+[1]sfpos!J101</f>
        <v>589691.80000000016</v>
      </c>
      <c r="K32" s="213">
        <f>+[1]sfpos!K101</f>
        <v>589691.80000000016</v>
      </c>
      <c r="L32" s="213">
        <f>+[1]sfpos!L101</f>
        <v>589691.80000000016</v>
      </c>
      <c r="M32" s="213">
        <f>+[1]sfpos!M101</f>
        <v>589691.80000000016</v>
      </c>
      <c r="N32" s="213">
        <f>+[1]sfpos!N101</f>
        <v>589691.80000000016</v>
      </c>
      <c r="O32" s="213">
        <f>+[1]sfpos!O101</f>
        <v>589691.80000000016</v>
      </c>
      <c r="P32" s="213">
        <f>+[1]sfpos!P101</f>
        <v>589691.80000000016</v>
      </c>
      <c r="Q32" s="213">
        <f>+[1]sfpos!Q101</f>
        <v>589691.80000000016</v>
      </c>
      <c r="R32" s="213">
        <f>sfpos!R101</f>
        <v>589691.80000000016</v>
      </c>
    </row>
    <row r="33" spans="2:18">
      <c r="C33" s="204" t="s">
        <v>719</v>
      </c>
      <c r="F33" s="213">
        <f>+[1]sfpos!F105</f>
        <v>186916.78999999998</v>
      </c>
      <c r="G33" s="213">
        <f>+[1]sfpos!G105</f>
        <v>195571.72999999998</v>
      </c>
      <c r="H33" s="213">
        <f>+[1]sfpos!H105</f>
        <v>200409.60999999996</v>
      </c>
      <c r="I33" s="213">
        <f>+[1]sfpos!I105</f>
        <v>200409.60999999996</v>
      </c>
      <c r="J33" s="213">
        <f>+[1]sfpos!J105</f>
        <v>200409.60999999996</v>
      </c>
      <c r="K33" s="213">
        <f>+[1]sfpos!K105</f>
        <v>200409.60999999996</v>
      </c>
      <c r="L33" s="213">
        <f>+[1]sfpos!L105</f>
        <v>200409.60999999996</v>
      </c>
      <c r="M33" s="213">
        <f>+[1]sfpos!M105</f>
        <v>200409.60999999996</v>
      </c>
      <c r="N33" s="213">
        <f>+[1]sfpos!N105</f>
        <v>200409.60999999996</v>
      </c>
      <c r="O33" s="213">
        <f>+[1]sfpos!O105</f>
        <v>200409.60999999996</v>
      </c>
      <c r="P33" s="213">
        <f>+[1]sfpos!P105</f>
        <v>200409.60999999996</v>
      </c>
      <c r="Q33" s="213">
        <f>+[1]sfpos!Q105</f>
        <v>200409.60999999996</v>
      </c>
      <c r="R33" s="213">
        <f>sfpos!R105</f>
        <v>200409.60999999996</v>
      </c>
    </row>
    <row r="34" spans="2:18">
      <c r="C34" s="204" t="s">
        <v>319</v>
      </c>
      <c r="F34" s="220">
        <f>+[1]sfpos!F113</f>
        <v>53527.299999999988</v>
      </c>
      <c r="G34" s="220">
        <f>+[1]sfpos!G113</f>
        <v>275</v>
      </c>
      <c r="H34" s="220">
        <f>+[1]sfpos!H113</f>
        <v>274.99999999998545</v>
      </c>
      <c r="I34" s="220">
        <f>+[1]sfpos!I113</f>
        <v>274.99999999998545</v>
      </c>
      <c r="J34" s="220">
        <f>+[1]sfpos!J113</f>
        <v>274.99999999998545</v>
      </c>
      <c r="K34" s="220">
        <f>+[1]sfpos!K113</f>
        <v>274.99999999998545</v>
      </c>
      <c r="L34" s="220">
        <f>+[1]sfpos!L113</f>
        <v>274.99999999998545</v>
      </c>
      <c r="M34" s="220">
        <f>+[1]sfpos!M113</f>
        <v>274.99999999998545</v>
      </c>
      <c r="N34" s="220">
        <f>+[1]sfpos!N113</f>
        <v>274.99999999998545</v>
      </c>
      <c r="O34" s="220">
        <f>+[1]sfpos!O113</f>
        <v>274.99999999998545</v>
      </c>
      <c r="P34" s="220">
        <f>+[1]sfpos!P113</f>
        <v>274.99999999998545</v>
      </c>
      <c r="Q34" s="220">
        <f>+[1]sfpos!Q113</f>
        <v>274.99999999998545</v>
      </c>
      <c r="R34" s="220">
        <f>sfpos!R113</f>
        <v>274.99999999998545</v>
      </c>
    </row>
    <row r="35" spans="2:18" ht="5.0999999999999996" customHeight="1">
      <c r="C35" s="208"/>
      <c r="F35" s="221"/>
      <c r="G35" s="221"/>
      <c r="H35" s="221"/>
      <c r="I35" s="221"/>
      <c r="J35" s="221"/>
      <c r="K35" s="221"/>
      <c r="L35" s="221"/>
      <c r="M35" s="221"/>
      <c r="N35" s="221"/>
      <c r="O35" s="221"/>
      <c r="P35" s="221"/>
      <c r="Q35" s="221"/>
      <c r="R35" s="221"/>
    </row>
    <row r="36" spans="2:18">
      <c r="C36" s="208"/>
      <c r="D36" s="210" t="s">
        <v>720</v>
      </c>
      <c r="F36" s="209">
        <f>+SUM(F31:F35)</f>
        <v>830135.89000000013</v>
      </c>
      <c r="G36" s="209">
        <f t="shared" ref="G36:Q36" si="3">+SUM(G31:G35)</f>
        <v>785538.53</v>
      </c>
      <c r="H36" s="209">
        <f t="shared" si="3"/>
        <v>790376.41000000015</v>
      </c>
      <c r="I36" s="209">
        <f t="shared" si="3"/>
        <v>790376.41000000015</v>
      </c>
      <c r="J36" s="209">
        <f t="shared" si="3"/>
        <v>790376.41000000015</v>
      </c>
      <c r="K36" s="209">
        <f t="shared" si="3"/>
        <v>790376.41000000015</v>
      </c>
      <c r="L36" s="209">
        <f t="shared" si="3"/>
        <v>790376.41000000015</v>
      </c>
      <c r="M36" s="209">
        <f t="shared" si="3"/>
        <v>790376.41000000015</v>
      </c>
      <c r="N36" s="209">
        <f t="shared" si="3"/>
        <v>790376.41000000015</v>
      </c>
      <c r="O36" s="209">
        <f t="shared" si="3"/>
        <v>790376.41000000015</v>
      </c>
      <c r="P36" s="209">
        <f t="shared" si="3"/>
        <v>790376.41000000015</v>
      </c>
      <c r="Q36" s="209">
        <f t="shared" si="3"/>
        <v>790376.41000000015</v>
      </c>
      <c r="R36" s="209">
        <f>R32+R33+R34</f>
        <v>790376.41000000015</v>
      </c>
    </row>
    <row r="37" spans="2:18" ht="5.0999999999999996" customHeight="1">
      <c r="C37" s="208"/>
      <c r="F37" s="186"/>
      <c r="G37" s="186"/>
      <c r="H37" s="186"/>
      <c r="I37" s="186"/>
      <c r="J37" s="186"/>
      <c r="K37" s="186"/>
      <c r="L37" s="186"/>
      <c r="M37" s="186"/>
      <c r="N37" s="186"/>
      <c r="O37" s="186"/>
      <c r="P37" s="186"/>
      <c r="Q37" s="186"/>
      <c r="R37" s="186"/>
    </row>
    <row r="38" spans="2:18">
      <c r="B38" s="208" t="s">
        <v>721</v>
      </c>
      <c r="F38" s="186"/>
      <c r="G38" s="186"/>
      <c r="H38" s="186"/>
      <c r="I38" s="186"/>
      <c r="J38" s="186"/>
      <c r="K38" s="186"/>
      <c r="L38" s="186"/>
      <c r="M38" s="186"/>
      <c r="N38" s="186"/>
      <c r="O38" s="186"/>
      <c r="P38" s="186"/>
      <c r="Q38" s="186"/>
      <c r="R38" s="186"/>
    </row>
    <row r="39" spans="2:18" ht="5.0999999999999996" customHeight="1">
      <c r="F39" s="186"/>
      <c r="G39" s="186"/>
      <c r="H39" s="186"/>
      <c r="I39" s="186"/>
      <c r="J39" s="186"/>
      <c r="K39" s="186"/>
      <c r="L39" s="186"/>
      <c r="M39" s="186"/>
      <c r="N39" s="186"/>
      <c r="O39" s="186"/>
      <c r="P39" s="186"/>
      <c r="Q39" s="186"/>
      <c r="R39" s="186"/>
    </row>
    <row r="40" spans="2:18">
      <c r="C40" s="204" t="s">
        <v>317</v>
      </c>
      <c r="F40" s="220">
        <f>+[1]sfpos!F120</f>
        <v>65771.63</v>
      </c>
      <c r="G40" s="220">
        <f>+[1]sfpos!G120</f>
        <v>65771.63</v>
      </c>
      <c r="H40" s="220">
        <f>+[1]sfpos!H120</f>
        <v>65771.63</v>
      </c>
      <c r="I40" s="220">
        <f>+[1]sfpos!I120</f>
        <v>65771.63</v>
      </c>
      <c r="J40" s="220">
        <f>+[1]sfpos!J120</f>
        <v>65771.63</v>
      </c>
      <c r="K40" s="220">
        <f>+[1]sfpos!K120</f>
        <v>65771.63</v>
      </c>
      <c r="L40" s="220">
        <f>+[1]sfpos!L120</f>
        <v>65771.63</v>
      </c>
      <c r="M40" s="220">
        <f>+[1]sfpos!M120</f>
        <v>65771.63</v>
      </c>
      <c r="N40" s="220">
        <f>+[1]sfpos!N120</f>
        <v>65771.63</v>
      </c>
      <c r="O40" s="220">
        <f>+[1]sfpos!O120</f>
        <v>65771.63</v>
      </c>
      <c r="P40" s="220">
        <f>+[1]sfpos!P120</f>
        <v>65771.63</v>
      </c>
      <c r="Q40" s="220">
        <f>+[1]sfpos!Q120</f>
        <v>65771.63</v>
      </c>
      <c r="R40" s="220">
        <f>+Q40</f>
        <v>65771.63</v>
      </c>
    </row>
    <row r="41" spans="2:18" ht="5.0999999999999996" customHeight="1"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</row>
    <row r="42" spans="2:18">
      <c r="D42" s="210" t="s">
        <v>722</v>
      </c>
      <c r="F42" s="209">
        <f>+SUM(F39:F41)</f>
        <v>65771.63</v>
      </c>
      <c r="G42" s="209">
        <f t="shared" ref="G42:Q42" si="4">+SUM(G39:G41)</f>
        <v>65771.63</v>
      </c>
      <c r="H42" s="209">
        <f t="shared" si="4"/>
        <v>65771.63</v>
      </c>
      <c r="I42" s="209">
        <f t="shared" si="4"/>
        <v>65771.63</v>
      </c>
      <c r="J42" s="209">
        <f t="shared" si="4"/>
        <v>65771.63</v>
      </c>
      <c r="K42" s="209">
        <f t="shared" si="4"/>
        <v>65771.63</v>
      </c>
      <c r="L42" s="209">
        <f t="shared" si="4"/>
        <v>65771.63</v>
      </c>
      <c r="M42" s="209">
        <f t="shared" si="4"/>
        <v>65771.63</v>
      </c>
      <c r="N42" s="209">
        <f t="shared" si="4"/>
        <v>65771.63</v>
      </c>
      <c r="O42" s="209">
        <f t="shared" si="4"/>
        <v>65771.63</v>
      </c>
      <c r="P42" s="209">
        <f t="shared" si="4"/>
        <v>65771.63</v>
      </c>
      <c r="Q42" s="209">
        <f t="shared" si="4"/>
        <v>65771.63</v>
      </c>
      <c r="R42" s="209">
        <f>+Q42</f>
        <v>65771.63</v>
      </c>
    </row>
    <row r="43" spans="2:18" ht="5.0999999999999996" customHeight="1">
      <c r="F43" s="186"/>
      <c r="G43" s="186"/>
      <c r="H43" s="186"/>
      <c r="I43" s="186"/>
      <c r="J43" s="186"/>
      <c r="K43" s="186"/>
      <c r="L43" s="186"/>
      <c r="M43" s="186"/>
      <c r="N43" s="186"/>
      <c r="O43" s="186"/>
      <c r="P43" s="186"/>
      <c r="Q43" s="186"/>
      <c r="R43" s="186"/>
    </row>
    <row r="44" spans="2:18">
      <c r="D44" s="210" t="s">
        <v>723</v>
      </c>
      <c r="F44" s="209">
        <f>+F42+F36</f>
        <v>895907.52000000014</v>
      </c>
      <c r="G44" s="209">
        <f t="shared" ref="G44:Q44" si="5">+G42+G36</f>
        <v>851310.16</v>
      </c>
      <c r="H44" s="209">
        <f t="shared" si="5"/>
        <v>856148.04000000015</v>
      </c>
      <c r="I44" s="209">
        <f t="shared" si="5"/>
        <v>856148.04000000015</v>
      </c>
      <c r="J44" s="209">
        <f t="shared" si="5"/>
        <v>856148.04000000015</v>
      </c>
      <c r="K44" s="209">
        <f t="shared" si="5"/>
        <v>856148.04000000015</v>
      </c>
      <c r="L44" s="209">
        <f t="shared" si="5"/>
        <v>856148.04000000015</v>
      </c>
      <c r="M44" s="209">
        <f t="shared" si="5"/>
        <v>856148.04000000015</v>
      </c>
      <c r="N44" s="209">
        <f t="shared" si="5"/>
        <v>856148.04000000015</v>
      </c>
      <c r="O44" s="209">
        <f t="shared" si="5"/>
        <v>856148.04000000015</v>
      </c>
      <c r="P44" s="209">
        <f t="shared" si="5"/>
        <v>856148.04000000015</v>
      </c>
      <c r="Q44" s="209">
        <f t="shared" si="5"/>
        <v>856148.04000000015</v>
      </c>
      <c r="R44" s="209">
        <f>R42+R36</f>
        <v>856148.04000000015</v>
      </c>
    </row>
    <row r="45" spans="2:18" ht="5.0999999999999996" customHeight="1"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</row>
    <row r="46" spans="2:18">
      <c r="D46" s="210" t="s">
        <v>725</v>
      </c>
      <c r="F46" s="209">
        <f>+[1]sfpos!F131</f>
        <v>29148759.349999998</v>
      </c>
      <c r="G46" s="209">
        <f>+[1]sfpos!G131</f>
        <v>29159126.679999996</v>
      </c>
      <c r="H46" s="209">
        <f>+[1]sfpos!H131</f>
        <v>29190438.419999998</v>
      </c>
      <c r="I46" s="209">
        <f>+[1]sfpos!I131</f>
        <v>29190438.419999998</v>
      </c>
      <c r="J46" s="209">
        <f>+[1]sfpos!J131</f>
        <v>29190438.419999998</v>
      </c>
      <c r="K46" s="209">
        <f>+[1]sfpos!K131</f>
        <v>29190438.419999998</v>
      </c>
      <c r="L46" s="209">
        <f>+[1]sfpos!L131</f>
        <v>29190438.419999998</v>
      </c>
      <c r="M46" s="209">
        <f>+[1]sfpos!M131</f>
        <v>29190438.419999998</v>
      </c>
      <c r="N46" s="209">
        <f>+[1]sfpos!N131</f>
        <v>29190438.419999998</v>
      </c>
      <c r="O46" s="209">
        <f>+[1]sfpos!O131</f>
        <v>29190438.419999998</v>
      </c>
      <c r="P46" s="209">
        <f>+[1]sfpos!P131</f>
        <v>29190438.419999998</v>
      </c>
      <c r="Q46" s="209">
        <f>+[1]sfpos!Q131</f>
        <v>29190438.419999998</v>
      </c>
      <c r="R46" s="209">
        <f>sfpos!R131-16019</f>
        <v>28711722.060000002</v>
      </c>
    </row>
    <row r="47" spans="2:18" ht="5.0999999999999996" customHeight="1">
      <c r="F47" s="186"/>
      <c r="G47" s="186"/>
      <c r="H47" s="186"/>
      <c r="I47" s="186"/>
      <c r="J47" s="186"/>
      <c r="K47" s="186"/>
      <c r="L47" s="186"/>
      <c r="M47" s="186"/>
      <c r="N47" s="186"/>
      <c r="O47" s="186"/>
      <c r="P47" s="186"/>
      <c r="Q47" s="186"/>
      <c r="R47" s="186"/>
    </row>
    <row r="48" spans="2:18" ht="12.75" thickBot="1">
      <c r="D48" s="210" t="s">
        <v>726</v>
      </c>
      <c r="F48" s="214">
        <f>+F46+F44</f>
        <v>30044666.869999997</v>
      </c>
      <c r="G48" s="214">
        <f t="shared" ref="G48:Q48" si="6">+G46+G44</f>
        <v>30010436.839999996</v>
      </c>
      <c r="H48" s="214">
        <f t="shared" si="6"/>
        <v>30046586.459999997</v>
      </c>
      <c r="I48" s="214">
        <f t="shared" si="6"/>
        <v>30046586.459999997</v>
      </c>
      <c r="J48" s="214">
        <f t="shared" si="6"/>
        <v>30046586.459999997</v>
      </c>
      <c r="K48" s="214">
        <f t="shared" si="6"/>
        <v>30046586.459999997</v>
      </c>
      <c r="L48" s="214">
        <f t="shared" si="6"/>
        <v>30046586.459999997</v>
      </c>
      <c r="M48" s="214">
        <f t="shared" si="6"/>
        <v>30046586.459999997</v>
      </c>
      <c r="N48" s="214">
        <f t="shared" si="6"/>
        <v>30046586.459999997</v>
      </c>
      <c r="O48" s="214">
        <f t="shared" si="6"/>
        <v>30046586.459999997</v>
      </c>
      <c r="P48" s="214">
        <f t="shared" si="6"/>
        <v>30046586.459999997</v>
      </c>
      <c r="Q48" s="214">
        <f t="shared" si="6"/>
        <v>30046586.459999997</v>
      </c>
      <c r="R48" s="214">
        <f>R46+R44</f>
        <v>29567870.100000001</v>
      </c>
    </row>
    <row r="49" spans="6:19" ht="12.75" thickTop="1">
      <c r="F49" s="186"/>
      <c r="G49" s="186"/>
      <c r="H49" s="186"/>
      <c r="I49" s="186"/>
      <c r="J49" s="186"/>
      <c r="K49" s="186"/>
      <c r="L49" s="186"/>
      <c r="M49" s="186"/>
      <c r="N49" s="186"/>
      <c r="O49" s="186"/>
      <c r="P49" s="186"/>
      <c r="Q49" s="186"/>
      <c r="R49" s="186"/>
      <c r="S49" s="215"/>
    </row>
    <row r="50" spans="6:19">
      <c r="F50" s="186"/>
      <c r="G50" s="186"/>
      <c r="H50" s="186"/>
      <c r="I50" s="186"/>
      <c r="J50" s="186"/>
      <c r="K50" s="186"/>
      <c r="L50" s="186"/>
      <c r="M50" s="186"/>
      <c r="N50" s="186"/>
      <c r="O50" s="186"/>
      <c r="P50" s="186"/>
      <c r="Q50" s="186"/>
      <c r="R50" s="186"/>
    </row>
    <row r="51" spans="6:19">
      <c r="F51" s="186"/>
      <c r="G51" s="186"/>
      <c r="H51" s="186"/>
      <c r="I51" s="186"/>
      <c r="J51" s="186"/>
      <c r="K51" s="186"/>
      <c r="L51" s="186"/>
      <c r="M51" s="186"/>
      <c r="N51" s="186"/>
      <c r="O51" s="186"/>
      <c r="P51" s="186"/>
      <c r="Q51" s="186"/>
      <c r="R51" s="186"/>
    </row>
    <row r="52" spans="6:19"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</row>
    <row r="53" spans="6:19"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</row>
    <row r="54" spans="6:19">
      <c r="F54" s="186"/>
      <c r="G54" s="186"/>
      <c r="H54" s="186"/>
      <c r="I54" s="186"/>
      <c r="J54" s="186"/>
      <c r="K54" s="186"/>
      <c r="L54" s="186"/>
      <c r="M54" s="186"/>
      <c r="N54" s="186"/>
      <c r="O54" s="186"/>
      <c r="P54" s="186"/>
      <c r="Q54" s="186"/>
      <c r="R54" s="186"/>
    </row>
    <row r="55" spans="6:19"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6:19">
      <c r="F56" s="186"/>
      <c r="G56" s="186"/>
      <c r="H56" s="186"/>
      <c r="I56" s="186"/>
      <c r="J56" s="186"/>
      <c r="K56" s="186"/>
      <c r="L56" s="186"/>
      <c r="M56" s="186"/>
      <c r="N56" s="186"/>
      <c r="O56" s="186"/>
      <c r="P56" s="186"/>
      <c r="Q56" s="186"/>
      <c r="R56" s="186"/>
    </row>
    <row r="57" spans="6:19">
      <c r="F57" s="186"/>
      <c r="G57" s="186"/>
      <c r="H57" s="186"/>
      <c r="I57" s="186"/>
      <c r="J57" s="186"/>
      <c r="K57" s="186"/>
      <c r="L57" s="186"/>
      <c r="M57" s="186"/>
      <c r="N57" s="186"/>
      <c r="O57" s="186"/>
      <c r="P57" s="186"/>
      <c r="Q57" s="186"/>
      <c r="R57" s="186"/>
    </row>
    <row r="58" spans="6:19"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</row>
    <row r="59" spans="6:19">
      <c r="F59" s="186"/>
      <c r="G59" s="186"/>
      <c r="H59" s="186"/>
      <c r="I59" s="186"/>
      <c r="J59" s="186"/>
      <c r="K59" s="186"/>
      <c r="L59" s="186"/>
      <c r="M59" s="186"/>
      <c r="N59" s="186"/>
      <c r="O59" s="186"/>
      <c r="P59" s="186"/>
      <c r="Q59" s="186"/>
      <c r="R59" s="186"/>
    </row>
    <row r="60" spans="6:19"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  <c r="R60" s="186"/>
    </row>
    <row r="61" spans="6:19">
      <c r="F61" s="186"/>
      <c r="G61" s="186"/>
      <c r="H61" s="186"/>
      <c r="I61" s="186"/>
      <c r="J61" s="186"/>
      <c r="K61" s="186"/>
      <c r="L61" s="186"/>
      <c r="M61" s="186"/>
      <c r="N61" s="186"/>
      <c r="O61" s="186"/>
      <c r="P61" s="186"/>
      <c r="Q61" s="186"/>
      <c r="R61" s="186"/>
    </row>
    <row r="62" spans="6:19">
      <c r="F62" s="186"/>
      <c r="G62" s="186"/>
      <c r="H62" s="186"/>
      <c r="I62" s="186"/>
      <c r="J62" s="186"/>
      <c r="K62" s="186"/>
      <c r="L62" s="186"/>
      <c r="M62" s="186"/>
      <c r="N62" s="186"/>
      <c r="O62" s="186"/>
      <c r="P62" s="186"/>
      <c r="Q62" s="186"/>
      <c r="R62" s="186"/>
    </row>
    <row r="63" spans="6:19">
      <c r="F63" s="186"/>
      <c r="G63" s="186"/>
      <c r="H63" s="186"/>
      <c r="I63" s="186"/>
      <c r="J63" s="186"/>
      <c r="K63" s="186"/>
      <c r="L63" s="186"/>
      <c r="M63" s="186"/>
      <c r="N63" s="186"/>
      <c r="O63" s="186"/>
      <c r="P63" s="186"/>
      <c r="Q63" s="186"/>
      <c r="R63" s="186"/>
    </row>
    <row r="64" spans="6:19">
      <c r="F64" s="186"/>
      <c r="G64" s="186"/>
      <c r="H64" s="186"/>
      <c r="I64" s="186"/>
      <c r="J64" s="186"/>
      <c r="K64" s="186"/>
      <c r="L64" s="186"/>
      <c r="M64" s="186"/>
      <c r="N64" s="186"/>
      <c r="O64" s="186"/>
      <c r="P64" s="186"/>
      <c r="Q64" s="186"/>
      <c r="R64" s="186"/>
    </row>
    <row r="65" spans="6:18">
      <c r="F65" s="186"/>
      <c r="G65" s="186"/>
      <c r="H65" s="186"/>
      <c r="I65" s="186"/>
      <c r="J65" s="186"/>
      <c r="K65" s="186"/>
      <c r="L65" s="186"/>
      <c r="M65" s="186"/>
      <c r="N65" s="186"/>
      <c r="O65" s="186"/>
      <c r="P65" s="186"/>
      <c r="Q65" s="186"/>
      <c r="R65" s="186"/>
    </row>
    <row r="66" spans="6:18">
      <c r="F66" s="186"/>
      <c r="G66" s="186"/>
      <c r="H66" s="186"/>
      <c r="I66" s="186"/>
      <c r="J66" s="186"/>
      <c r="K66" s="186"/>
      <c r="L66" s="186"/>
      <c r="M66" s="186"/>
      <c r="N66" s="186"/>
      <c r="O66" s="186"/>
      <c r="P66" s="186"/>
      <c r="Q66" s="186"/>
      <c r="R66" s="186"/>
    </row>
    <row r="67" spans="6:18">
      <c r="F67" s="186"/>
      <c r="G67" s="186"/>
      <c r="H67" s="186"/>
      <c r="I67" s="186"/>
      <c r="J67" s="186"/>
      <c r="K67" s="186"/>
      <c r="L67" s="186"/>
      <c r="M67" s="186"/>
      <c r="N67" s="186"/>
      <c r="O67" s="186"/>
      <c r="P67" s="186"/>
      <c r="Q67" s="186"/>
      <c r="R67" s="186"/>
    </row>
    <row r="68" spans="6:18">
      <c r="F68" s="186"/>
      <c r="G68" s="186"/>
      <c r="H68" s="186"/>
      <c r="I68" s="186"/>
      <c r="J68" s="186"/>
      <c r="K68" s="186"/>
      <c r="L68" s="186"/>
      <c r="M68" s="186"/>
      <c r="N68" s="186"/>
      <c r="O68" s="186"/>
      <c r="P68" s="186"/>
      <c r="Q68" s="186"/>
      <c r="R68" s="186"/>
    </row>
    <row r="69" spans="6:18">
      <c r="F69" s="186"/>
      <c r="G69" s="186"/>
      <c r="H69" s="186"/>
      <c r="I69" s="186"/>
      <c r="J69" s="186"/>
      <c r="K69" s="186"/>
      <c r="L69" s="186"/>
      <c r="M69" s="186"/>
      <c r="N69" s="186"/>
      <c r="O69" s="186"/>
      <c r="P69" s="186"/>
      <c r="Q69" s="186"/>
      <c r="R69" s="186"/>
    </row>
    <row r="70" spans="6:18">
      <c r="F70" s="186"/>
      <c r="G70" s="186"/>
      <c r="H70" s="186"/>
      <c r="I70" s="186"/>
      <c r="J70" s="186"/>
      <c r="K70" s="186"/>
      <c r="L70" s="186"/>
      <c r="M70" s="186"/>
      <c r="N70" s="186"/>
      <c r="O70" s="186"/>
      <c r="P70" s="186"/>
      <c r="Q70" s="186"/>
      <c r="R70" s="186"/>
    </row>
    <row r="71" spans="6:18">
      <c r="F71" s="186"/>
      <c r="G71" s="186"/>
      <c r="H71" s="186"/>
      <c r="I71" s="186"/>
      <c r="J71" s="186"/>
      <c r="K71" s="186"/>
      <c r="L71" s="186"/>
      <c r="M71" s="186"/>
      <c r="N71" s="186"/>
      <c r="O71" s="186"/>
      <c r="P71" s="186"/>
      <c r="Q71" s="186"/>
      <c r="R71" s="186"/>
    </row>
    <row r="72" spans="6:18">
      <c r="F72" s="186"/>
      <c r="G72" s="186"/>
      <c r="H72" s="186"/>
      <c r="I72" s="186"/>
      <c r="J72" s="186"/>
      <c r="K72" s="186"/>
      <c r="L72" s="186"/>
      <c r="M72" s="186"/>
      <c r="N72" s="186"/>
      <c r="O72" s="186"/>
      <c r="P72" s="186"/>
      <c r="Q72" s="186"/>
      <c r="R72" s="186"/>
    </row>
    <row r="73" spans="6:18">
      <c r="F73" s="186"/>
      <c r="G73" s="186"/>
      <c r="H73" s="186"/>
      <c r="I73" s="186"/>
      <c r="J73" s="186"/>
      <c r="K73" s="186"/>
      <c r="L73" s="186"/>
      <c r="M73" s="186"/>
      <c r="N73" s="186"/>
      <c r="O73" s="186"/>
      <c r="P73" s="186"/>
      <c r="Q73" s="186"/>
      <c r="R73" s="186"/>
    </row>
    <row r="74" spans="6:18">
      <c r="F74" s="186"/>
      <c r="G74" s="186"/>
      <c r="H74" s="186"/>
      <c r="I74" s="186"/>
      <c r="J74" s="186"/>
      <c r="K74" s="186"/>
      <c r="L74" s="186"/>
      <c r="M74" s="186"/>
      <c r="N74" s="186"/>
      <c r="O74" s="186"/>
      <c r="P74" s="186"/>
      <c r="Q74" s="186"/>
      <c r="R74" s="186"/>
    </row>
    <row r="75" spans="6:18">
      <c r="F75" s="186"/>
      <c r="G75" s="186"/>
      <c r="H75" s="186"/>
      <c r="I75" s="186"/>
      <c r="J75" s="186"/>
      <c r="K75" s="186"/>
      <c r="L75" s="186"/>
      <c r="M75" s="186"/>
      <c r="N75" s="186"/>
      <c r="O75" s="186"/>
      <c r="P75" s="186"/>
      <c r="Q75" s="186"/>
      <c r="R75" s="186"/>
    </row>
    <row r="76" spans="6:18">
      <c r="F76" s="186"/>
      <c r="G76" s="186"/>
      <c r="H76" s="186"/>
      <c r="I76" s="186"/>
      <c r="J76" s="186"/>
      <c r="K76" s="186"/>
      <c r="L76" s="186"/>
      <c r="M76" s="186"/>
      <c r="N76" s="186"/>
      <c r="O76" s="186"/>
      <c r="P76" s="186"/>
      <c r="Q76" s="186"/>
      <c r="R76" s="186"/>
    </row>
    <row r="77" spans="6:18">
      <c r="F77" s="186"/>
      <c r="G77" s="186"/>
      <c r="H77" s="186"/>
      <c r="I77" s="186"/>
      <c r="J77" s="186"/>
      <c r="K77" s="186"/>
      <c r="L77" s="186"/>
      <c r="M77" s="186"/>
      <c r="N77" s="186"/>
      <c r="O77" s="186"/>
      <c r="P77" s="186"/>
      <c r="Q77" s="186"/>
      <c r="R77" s="186"/>
    </row>
    <row r="78" spans="6:18">
      <c r="F78" s="186"/>
      <c r="G78" s="186"/>
      <c r="H78" s="186"/>
      <c r="I78" s="186"/>
      <c r="J78" s="186"/>
      <c r="K78" s="186"/>
      <c r="L78" s="186"/>
      <c r="M78" s="186"/>
      <c r="N78" s="186"/>
      <c r="O78" s="186"/>
      <c r="P78" s="186"/>
      <c r="Q78" s="186"/>
      <c r="R78" s="186"/>
    </row>
    <row r="79" spans="6:18">
      <c r="F79" s="186"/>
      <c r="G79" s="186"/>
      <c r="H79" s="186"/>
      <c r="I79" s="186"/>
      <c r="J79" s="186"/>
      <c r="K79" s="186"/>
      <c r="L79" s="186"/>
      <c r="M79" s="186"/>
      <c r="N79" s="186"/>
      <c r="O79" s="186"/>
      <c r="P79" s="186"/>
      <c r="Q79" s="186"/>
      <c r="R79" s="186"/>
    </row>
    <row r="80" spans="6:18">
      <c r="F80" s="186"/>
      <c r="G80" s="186"/>
      <c r="H80" s="186"/>
      <c r="I80" s="186"/>
      <c r="J80" s="186"/>
      <c r="K80" s="186"/>
      <c r="L80" s="186"/>
      <c r="M80" s="186"/>
      <c r="N80" s="186"/>
      <c r="O80" s="186"/>
      <c r="P80" s="186"/>
      <c r="Q80" s="186"/>
      <c r="R80" s="186"/>
    </row>
    <row r="81" spans="6:18">
      <c r="F81" s="186"/>
      <c r="G81" s="186"/>
      <c r="H81" s="186"/>
      <c r="I81" s="186"/>
      <c r="J81" s="186"/>
      <c r="K81" s="186"/>
      <c r="L81" s="186"/>
      <c r="M81" s="186"/>
      <c r="N81" s="186"/>
      <c r="O81" s="186"/>
      <c r="P81" s="186"/>
      <c r="Q81" s="186"/>
      <c r="R81" s="186"/>
    </row>
    <row r="82" spans="6:18">
      <c r="F82" s="186"/>
      <c r="G82" s="186"/>
      <c r="H82" s="186"/>
      <c r="I82" s="186"/>
      <c r="J82" s="186"/>
      <c r="K82" s="186"/>
      <c r="L82" s="186"/>
      <c r="M82" s="186"/>
      <c r="N82" s="186"/>
      <c r="O82" s="186"/>
      <c r="P82" s="186"/>
      <c r="Q82" s="186"/>
      <c r="R82" s="186"/>
    </row>
    <row r="83" spans="6:18">
      <c r="F83" s="186"/>
      <c r="G83" s="186"/>
      <c r="H83" s="186"/>
      <c r="I83" s="186"/>
      <c r="J83" s="186"/>
      <c r="K83" s="186"/>
      <c r="L83" s="186"/>
      <c r="M83" s="186"/>
      <c r="N83" s="186"/>
      <c r="O83" s="186"/>
      <c r="P83" s="186"/>
      <c r="Q83" s="186"/>
      <c r="R83" s="186"/>
    </row>
    <row r="84" spans="6:18">
      <c r="F84" s="186"/>
      <c r="G84" s="186"/>
      <c r="H84" s="186"/>
      <c r="I84" s="186"/>
      <c r="J84" s="186"/>
      <c r="K84" s="186"/>
      <c r="L84" s="186"/>
      <c r="M84" s="186"/>
      <c r="N84" s="186"/>
      <c r="O84" s="186"/>
      <c r="P84" s="186"/>
      <c r="Q84" s="186"/>
      <c r="R84" s="186"/>
    </row>
    <row r="85" spans="6:18">
      <c r="F85" s="186"/>
      <c r="G85" s="186"/>
      <c r="H85" s="186"/>
      <c r="I85" s="186"/>
      <c r="J85" s="186"/>
      <c r="K85" s="186"/>
      <c r="L85" s="186"/>
      <c r="M85" s="186"/>
      <c r="N85" s="186"/>
      <c r="O85" s="186"/>
      <c r="P85" s="186"/>
      <c r="Q85" s="186"/>
      <c r="R85" s="186"/>
    </row>
    <row r="86" spans="6:18"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</row>
    <row r="87" spans="6:18">
      <c r="F87" s="186"/>
      <c r="G87" s="186"/>
      <c r="H87" s="186"/>
      <c r="I87" s="186"/>
      <c r="J87" s="186"/>
      <c r="K87" s="186"/>
      <c r="L87" s="186"/>
      <c r="M87" s="186"/>
      <c r="N87" s="186"/>
      <c r="O87" s="186"/>
      <c r="P87" s="186"/>
      <c r="Q87" s="186"/>
      <c r="R87" s="186"/>
    </row>
    <row r="88" spans="6:18">
      <c r="F88" s="186"/>
      <c r="G88" s="186"/>
      <c r="H88" s="186"/>
      <c r="I88" s="186"/>
      <c r="J88" s="186"/>
      <c r="K88" s="186"/>
      <c r="L88" s="186"/>
      <c r="M88" s="186"/>
      <c r="N88" s="186"/>
      <c r="O88" s="186"/>
      <c r="P88" s="186"/>
      <c r="Q88" s="186"/>
      <c r="R88" s="186"/>
    </row>
    <row r="89" spans="6:18">
      <c r="F89" s="186"/>
      <c r="G89" s="186"/>
      <c r="H89" s="186"/>
      <c r="I89" s="186"/>
      <c r="J89" s="186"/>
      <c r="K89" s="186"/>
      <c r="L89" s="186"/>
      <c r="M89" s="186"/>
      <c r="N89" s="186"/>
      <c r="O89" s="186"/>
      <c r="P89" s="186"/>
      <c r="Q89" s="186"/>
      <c r="R89" s="186"/>
    </row>
    <row r="90" spans="6:18">
      <c r="F90" s="186"/>
      <c r="G90" s="186"/>
      <c r="H90" s="186"/>
      <c r="I90" s="186"/>
      <c r="J90" s="186"/>
      <c r="K90" s="186"/>
      <c r="L90" s="186"/>
      <c r="M90" s="186"/>
      <c r="N90" s="186"/>
      <c r="O90" s="186"/>
      <c r="P90" s="186"/>
      <c r="Q90" s="186"/>
      <c r="R90" s="186"/>
    </row>
    <row r="91" spans="6:18">
      <c r="F91" s="186"/>
      <c r="G91" s="186"/>
      <c r="H91" s="186"/>
      <c r="I91" s="186"/>
      <c r="J91" s="186"/>
      <c r="K91" s="186"/>
      <c r="L91" s="186"/>
      <c r="M91" s="186"/>
      <c r="N91" s="186"/>
      <c r="O91" s="186"/>
      <c r="P91" s="186"/>
      <c r="Q91" s="186"/>
      <c r="R91" s="186"/>
    </row>
    <row r="92" spans="6:18">
      <c r="F92" s="186"/>
      <c r="G92" s="186"/>
      <c r="H92" s="186"/>
      <c r="I92" s="186"/>
      <c r="J92" s="186"/>
      <c r="K92" s="186"/>
      <c r="L92" s="186"/>
      <c r="M92" s="186"/>
      <c r="N92" s="186"/>
      <c r="O92" s="186"/>
      <c r="P92" s="186"/>
      <c r="Q92" s="186"/>
      <c r="R92" s="186"/>
    </row>
    <row r="93" spans="6:18">
      <c r="F93" s="186"/>
      <c r="G93" s="186"/>
      <c r="H93" s="186"/>
      <c r="I93" s="186"/>
      <c r="J93" s="186"/>
      <c r="K93" s="186"/>
      <c r="L93" s="186"/>
      <c r="M93" s="186"/>
      <c r="N93" s="186"/>
      <c r="O93" s="186"/>
      <c r="P93" s="186"/>
      <c r="Q93" s="186"/>
      <c r="R93" s="186"/>
    </row>
    <row r="94" spans="6:18">
      <c r="F94" s="186"/>
      <c r="G94" s="186"/>
      <c r="H94" s="186"/>
      <c r="I94" s="186"/>
      <c r="J94" s="186"/>
      <c r="K94" s="186"/>
      <c r="L94" s="186"/>
      <c r="M94" s="186"/>
      <c r="N94" s="186"/>
      <c r="O94" s="186"/>
      <c r="P94" s="186"/>
      <c r="Q94" s="186"/>
      <c r="R94" s="186"/>
    </row>
    <row r="95" spans="6:18"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</row>
    <row r="96" spans="6:18">
      <c r="F96" s="186"/>
      <c r="G96" s="186"/>
      <c r="H96" s="186"/>
      <c r="I96" s="186"/>
      <c r="J96" s="186"/>
      <c r="K96" s="186"/>
      <c r="L96" s="186"/>
      <c r="M96" s="186"/>
      <c r="N96" s="186"/>
      <c r="O96" s="186"/>
      <c r="P96" s="186"/>
      <c r="Q96" s="186"/>
      <c r="R96" s="186"/>
    </row>
    <row r="97" spans="6:18">
      <c r="F97" s="186"/>
      <c r="G97" s="186"/>
      <c r="H97" s="186"/>
      <c r="I97" s="186"/>
      <c r="J97" s="186"/>
      <c r="K97" s="186"/>
      <c r="L97" s="186"/>
      <c r="M97" s="186"/>
      <c r="N97" s="186"/>
      <c r="O97" s="186"/>
      <c r="P97" s="186"/>
      <c r="Q97" s="186"/>
      <c r="R97" s="186"/>
    </row>
    <row r="98" spans="6:18">
      <c r="F98" s="186"/>
      <c r="G98" s="186"/>
      <c r="H98" s="186"/>
      <c r="I98" s="186"/>
      <c r="J98" s="186"/>
      <c r="K98" s="186"/>
      <c r="L98" s="186"/>
      <c r="M98" s="186"/>
      <c r="N98" s="186"/>
      <c r="O98" s="186"/>
      <c r="P98" s="186"/>
      <c r="Q98" s="186"/>
      <c r="R98" s="186"/>
    </row>
    <row r="99" spans="6:18">
      <c r="F99" s="186"/>
      <c r="G99" s="186"/>
      <c r="H99" s="186"/>
      <c r="I99" s="186"/>
      <c r="J99" s="186"/>
      <c r="K99" s="186"/>
      <c r="L99" s="186"/>
      <c r="M99" s="186"/>
      <c r="N99" s="186"/>
      <c r="O99" s="186"/>
      <c r="P99" s="186"/>
      <c r="Q99" s="186"/>
      <c r="R99" s="186"/>
    </row>
    <row r="100" spans="6:18">
      <c r="F100" s="186"/>
      <c r="G100" s="186"/>
      <c r="H100" s="186"/>
      <c r="I100" s="186"/>
      <c r="J100" s="186"/>
      <c r="K100" s="186"/>
      <c r="L100" s="186"/>
      <c r="M100" s="186"/>
      <c r="N100" s="186"/>
      <c r="O100" s="186"/>
      <c r="P100" s="186"/>
      <c r="Q100" s="186"/>
      <c r="R100" s="186"/>
    </row>
    <row r="101" spans="6:18">
      <c r="F101" s="186"/>
      <c r="G101" s="186"/>
      <c r="H101" s="186"/>
      <c r="I101" s="186"/>
      <c r="J101" s="186"/>
      <c r="K101" s="186"/>
      <c r="L101" s="186"/>
      <c r="M101" s="186"/>
      <c r="N101" s="186"/>
      <c r="O101" s="186"/>
      <c r="P101" s="186"/>
      <c r="Q101" s="186"/>
      <c r="R101" s="186"/>
    </row>
    <row r="102" spans="6:18"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</row>
    <row r="103" spans="6:18"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  <c r="Q103" s="186"/>
      <c r="R103" s="186"/>
    </row>
    <row r="104" spans="6:18">
      <c r="F104" s="186"/>
      <c r="G104" s="186"/>
      <c r="H104" s="186"/>
      <c r="I104" s="186"/>
      <c r="J104" s="186"/>
      <c r="K104" s="186"/>
      <c r="L104" s="186"/>
      <c r="M104" s="186"/>
      <c r="N104" s="186"/>
      <c r="O104" s="186"/>
      <c r="P104" s="186"/>
      <c r="Q104" s="186"/>
      <c r="R104" s="186"/>
    </row>
    <row r="105" spans="6:18">
      <c r="F105" s="186"/>
      <c r="G105" s="186"/>
      <c r="H105" s="186"/>
      <c r="I105" s="186"/>
      <c r="J105" s="186"/>
      <c r="K105" s="186"/>
      <c r="L105" s="186"/>
      <c r="M105" s="186"/>
      <c r="N105" s="186"/>
      <c r="O105" s="186"/>
      <c r="P105" s="186"/>
      <c r="Q105" s="186"/>
      <c r="R105" s="186"/>
    </row>
    <row r="106" spans="6:18"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</row>
    <row r="107" spans="6:18">
      <c r="F107" s="186"/>
      <c r="G107" s="186"/>
      <c r="H107" s="186"/>
      <c r="I107" s="186"/>
      <c r="J107" s="186"/>
      <c r="K107" s="186"/>
      <c r="L107" s="186"/>
      <c r="M107" s="186"/>
      <c r="N107" s="186"/>
      <c r="O107" s="186"/>
      <c r="P107" s="186"/>
      <c r="Q107" s="186"/>
      <c r="R107" s="186"/>
    </row>
    <row r="108" spans="6:18">
      <c r="F108" s="186"/>
      <c r="G108" s="186"/>
      <c r="H108" s="186"/>
      <c r="I108" s="186"/>
      <c r="J108" s="186"/>
      <c r="K108" s="186"/>
      <c r="L108" s="186"/>
      <c r="M108" s="186"/>
      <c r="N108" s="186"/>
      <c r="O108" s="186"/>
      <c r="P108" s="186"/>
      <c r="Q108" s="186"/>
      <c r="R108" s="186"/>
    </row>
    <row r="109" spans="6:18">
      <c r="F109" s="186"/>
      <c r="G109" s="186"/>
      <c r="H109" s="186"/>
      <c r="I109" s="186"/>
      <c r="J109" s="186"/>
      <c r="K109" s="186"/>
      <c r="L109" s="186"/>
      <c r="M109" s="186"/>
      <c r="N109" s="186"/>
      <c r="O109" s="186"/>
      <c r="P109" s="186"/>
      <c r="Q109" s="186"/>
      <c r="R109" s="186"/>
    </row>
    <row r="110" spans="6:18">
      <c r="F110" s="186"/>
      <c r="G110" s="186"/>
      <c r="H110" s="186"/>
      <c r="I110" s="186"/>
      <c r="J110" s="186"/>
      <c r="K110" s="186"/>
      <c r="L110" s="186"/>
      <c r="M110" s="186"/>
      <c r="N110" s="186"/>
      <c r="O110" s="186"/>
      <c r="P110" s="186"/>
      <c r="Q110" s="186"/>
      <c r="R110" s="186"/>
    </row>
    <row r="111" spans="6:18">
      <c r="F111" s="186"/>
      <c r="G111" s="186"/>
      <c r="H111" s="186"/>
      <c r="I111" s="186"/>
      <c r="J111" s="186"/>
      <c r="K111" s="186"/>
      <c r="L111" s="186"/>
      <c r="M111" s="186"/>
      <c r="N111" s="186"/>
      <c r="O111" s="186"/>
      <c r="P111" s="186"/>
      <c r="Q111" s="186"/>
      <c r="R111" s="186"/>
    </row>
    <row r="112" spans="6:18">
      <c r="F112" s="186"/>
      <c r="G112" s="186"/>
      <c r="H112" s="186"/>
      <c r="I112" s="186"/>
      <c r="J112" s="186"/>
      <c r="K112" s="186"/>
      <c r="L112" s="186"/>
      <c r="M112" s="186"/>
      <c r="N112" s="186"/>
      <c r="O112" s="186"/>
      <c r="P112" s="186"/>
      <c r="Q112" s="186"/>
      <c r="R112" s="186"/>
    </row>
    <row r="113" spans="6:18">
      <c r="F113" s="186"/>
      <c r="G113" s="186"/>
      <c r="H113" s="186"/>
      <c r="I113" s="186"/>
      <c r="J113" s="186"/>
      <c r="K113" s="186"/>
      <c r="L113" s="186"/>
      <c r="M113" s="186"/>
      <c r="N113" s="186"/>
      <c r="O113" s="186"/>
      <c r="P113" s="186"/>
      <c r="Q113" s="186"/>
      <c r="R113" s="186"/>
    </row>
    <row r="114" spans="6:18">
      <c r="F114" s="186"/>
      <c r="G114" s="186"/>
      <c r="H114" s="186"/>
      <c r="I114" s="186"/>
      <c r="J114" s="186"/>
      <c r="K114" s="186"/>
      <c r="L114" s="186"/>
      <c r="M114" s="186"/>
      <c r="N114" s="186"/>
      <c r="O114" s="186"/>
      <c r="P114" s="186"/>
      <c r="Q114" s="186"/>
      <c r="R114" s="186"/>
    </row>
    <row r="115" spans="6:18">
      <c r="F115" s="186"/>
      <c r="G115" s="186"/>
      <c r="H115" s="186"/>
      <c r="I115" s="186"/>
      <c r="J115" s="186"/>
      <c r="K115" s="186"/>
      <c r="L115" s="186"/>
      <c r="M115" s="186"/>
      <c r="N115" s="186"/>
      <c r="O115" s="186"/>
      <c r="P115" s="186"/>
      <c r="Q115" s="186"/>
      <c r="R115" s="186"/>
    </row>
    <row r="116" spans="6:18">
      <c r="F116" s="186"/>
      <c r="G116" s="186"/>
      <c r="H116" s="186"/>
      <c r="I116" s="186"/>
      <c r="J116" s="186"/>
      <c r="K116" s="186"/>
      <c r="L116" s="186"/>
      <c r="M116" s="186"/>
      <c r="N116" s="186"/>
      <c r="O116" s="186"/>
      <c r="P116" s="186"/>
      <c r="Q116" s="186"/>
      <c r="R116" s="186"/>
    </row>
    <row r="117" spans="6:18">
      <c r="F117" s="186"/>
      <c r="G117" s="186"/>
      <c r="H117" s="186"/>
      <c r="I117" s="186"/>
      <c r="J117" s="186"/>
      <c r="K117" s="186"/>
      <c r="L117" s="186"/>
      <c r="M117" s="186"/>
      <c r="N117" s="186"/>
      <c r="O117" s="186"/>
      <c r="P117" s="186"/>
      <c r="Q117" s="186"/>
      <c r="R117" s="186"/>
    </row>
    <row r="118" spans="6:18"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  <c r="Q118" s="186"/>
      <c r="R118" s="186"/>
    </row>
    <row r="119" spans="6:18">
      <c r="F119" s="186"/>
      <c r="G119" s="186"/>
      <c r="H119" s="186"/>
      <c r="I119" s="186"/>
      <c r="J119" s="186"/>
      <c r="K119" s="186"/>
      <c r="L119" s="186"/>
      <c r="M119" s="186"/>
      <c r="N119" s="186"/>
      <c r="O119" s="186"/>
      <c r="P119" s="186"/>
      <c r="Q119" s="186"/>
      <c r="R119" s="186"/>
    </row>
    <row r="120" spans="6:18">
      <c r="F120" s="186"/>
      <c r="G120" s="186"/>
      <c r="H120" s="186"/>
      <c r="I120" s="186"/>
      <c r="J120" s="186"/>
      <c r="K120" s="186"/>
      <c r="L120" s="186"/>
      <c r="M120" s="186"/>
      <c r="N120" s="186"/>
      <c r="O120" s="186"/>
      <c r="P120" s="186"/>
      <c r="Q120" s="186"/>
      <c r="R120" s="186"/>
    </row>
    <row r="121" spans="6:18">
      <c r="F121" s="186"/>
      <c r="G121" s="186"/>
      <c r="H121" s="186"/>
      <c r="I121" s="186"/>
      <c r="J121" s="186"/>
      <c r="K121" s="186"/>
      <c r="L121" s="186"/>
      <c r="M121" s="186"/>
      <c r="N121" s="186"/>
      <c r="O121" s="186"/>
      <c r="P121" s="186"/>
      <c r="Q121" s="186"/>
      <c r="R121" s="186"/>
    </row>
    <row r="122" spans="6:18">
      <c r="F122" s="186"/>
      <c r="G122" s="186"/>
      <c r="H122" s="186"/>
      <c r="I122" s="186"/>
      <c r="J122" s="186"/>
      <c r="K122" s="186"/>
      <c r="L122" s="186"/>
      <c r="M122" s="186"/>
      <c r="N122" s="186"/>
      <c r="O122" s="186"/>
      <c r="P122" s="186"/>
      <c r="Q122" s="186"/>
      <c r="R122" s="186"/>
    </row>
    <row r="123" spans="6:18">
      <c r="F123" s="186"/>
      <c r="G123" s="186"/>
      <c r="H123" s="186"/>
      <c r="I123" s="186"/>
      <c r="J123" s="186"/>
      <c r="K123" s="186"/>
      <c r="L123" s="186"/>
      <c r="M123" s="186"/>
      <c r="N123" s="186"/>
      <c r="O123" s="186"/>
      <c r="P123" s="186"/>
      <c r="Q123" s="186"/>
      <c r="R123" s="186"/>
    </row>
    <row r="124" spans="6:18">
      <c r="F124" s="186"/>
      <c r="G124" s="186"/>
      <c r="H124" s="186"/>
      <c r="I124" s="186"/>
      <c r="J124" s="186"/>
      <c r="K124" s="186"/>
      <c r="L124" s="186"/>
      <c r="M124" s="186"/>
      <c r="N124" s="186"/>
      <c r="O124" s="186"/>
      <c r="P124" s="186"/>
      <c r="Q124" s="186"/>
      <c r="R124" s="186"/>
    </row>
    <row r="125" spans="6:18">
      <c r="F125" s="186"/>
      <c r="G125" s="186"/>
      <c r="H125" s="186"/>
      <c r="I125" s="186"/>
      <c r="J125" s="186"/>
      <c r="K125" s="186"/>
      <c r="L125" s="186"/>
      <c r="M125" s="186"/>
      <c r="N125" s="186"/>
      <c r="O125" s="186"/>
      <c r="P125" s="186"/>
      <c r="Q125" s="186"/>
      <c r="R125" s="186"/>
    </row>
    <row r="126" spans="6:18">
      <c r="F126" s="186"/>
      <c r="G126" s="186"/>
      <c r="H126" s="186"/>
      <c r="I126" s="186"/>
      <c r="J126" s="186"/>
      <c r="K126" s="186"/>
      <c r="L126" s="186"/>
      <c r="M126" s="186"/>
      <c r="N126" s="186"/>
      <c r="O126" s="186"/>
      <c r="P126" s="186"/>
      <c r="Q126" s="186"/>
      <c r="R126" s="186"/>
    </row>
    <row r="127" spans="6:18">
      <c r="F127" s="186"/>
      <c r="G127" s="186"/>
      <c r="H127" s="186"/>
      <c r="I127" s="186"/>
      <c r="J127" s="186"/>
      <c r="K127" s="186"/>
      <c r="L127" s="186"/>
      <c r="M127" s="186"/>
      <c r="N127" s="186"/>
      <c r="O127" s="186"/>
      <c r="P127" s="186"/>
      <c r="Q127" s="186"/>
      <c r="R127" s="186"/>
    </row>
    <row r="128" spans="6:18">
      <c r="F128" s="186"/>
      <c r="G128" s="186"/>
      <c r="H128" s="186"/>
      <c r="I128" s="186"/>
      <c r="J128" s="186"/>
      <c r="K128" s="186"/>
      <c r="L128" s="186"/>
      <c r="M128" s="186"/>
      <c r="N128" s="186"/>
      <c r="O128" s="186"/>
      <c r="P128" s="186"/>
      <c r="Q128" s="186"/>
      <c r="R128" s="186"/>
    </row>
    <row r="129" spans="6:18"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</row>
    <row r="130" spans="6:18">
      <c r="F130" s="186"/>
      <c r="G130" s="186"/>
      <c r="H130" s="186"/>
      <c r="I130" s="186"/>
      <c r="J130" s="186"/>
      <c r="K130" s="186"/>
      <c r="L130" s="186"/>
      <c r="M130" s="186"/>
      <c r="N130" s="186"/>
      <c r="O130" s="186"/>
      <c r="P130" s="186"/>
      <c r="Q130" s="186"/>
      <c r="R130" s="186"/>
    </row>
    <row r="131" spans="6:18">
      <c r="F131" s="186"/>
      <c r="G131" s="186"/>
      <c r="H131" s="186"/>
      <c r="I131" s="186"/>
      <c r="J131" s="186"/>
      <c r="K131" s="186"/>
      <c r="L131" s="186"/>
      <c r="M131" s="186"/>
      <c r="N131" s="186"/>
      <c r="O131" s="186"/>
      <c r="P131" s="186"/>
      <c r="Q131" s="186"/>
      <c r="R131" s="186"/>
    </row>
    <row r="132" spans="6:18">
      <c r="F132" s="186"/>
      <c r="G132" s="186"/>
      <c r="H132" s="186"/>
      <c r="I132" s="186"/>
      <c r="J132" s="186"/>
      <c r="K132" s="186"/>
      <c r="L132" s="186"/>
      <c r="M132" s="186"/>
      <c r="N132" s="186"/>
      <c r="O132" s="186"/>
      <c r="P132" s="186"/>
      <c r="Q132" s="186"/>
      <c r="R132" s="186"/>
    </row>
    <row r="133" spans="6:18">
      <c r="F133" s="186"/>
      <c r="G133" s="186"/>
      <c r="H133" s="186"/>
      <c r="I133" s="186"/>
      <c r="J133" s="186"/>
      <c r="K133" s="186"/>
      <c r="L133" s="186"/>
      <c r="M133" s="186"/>
      <c r="N133" s="186"/>
      <c r="O133" s="186"/>
      <c r="P133" s="186"/>
      <c r="Q133" s="186"/>
      <c r="R133" s="186"/>
    </row>
    <row r="134" spans="6:18">
      <c r="F134" s="186"/>
      <c r="G134" s="186"/>
      <c r="H134" s="186"/>
      <c r="I134" s="186"/>
      <c r="J134" s="186"/>
      <c r="K134" s="186"/>
      <c r="L134" s="186"/>
      <c r="M134" s="186"/>
      <c r="N134" s="186"/>
      <c r="O134" s="186"/>
      <c r="P134" s="186"/>
      <c r="Q134" s="186"/>
      <c r="R134" s="186"/>
    </row>
    <row r="135" spans="6:18">
      <c r="F135" s="186"/>
      <c r="G135" s="186"/>
      <c r="H135" s="186"/>
      <c r="I135" s="186"/>
      <c r="J135" s="186"/>
      <c r="K135" s="186"/>
      <c r="L135" s="186"/>
      <c r="M135" s="186"/>
      <c r="N135" s="186"/>
      <c r="O135" s="186"/>
      <c r="P135" s="186"/>
      <c r="Q135" s="186"/>
      <c r="R135" s="186"/>
    </row>
    <row r="136" spans="6:18">
      <c r="F136" s="186"/>
      <c r="G136" s="186"/>
      <c r="H136" s="186"/>
      <c r="I136" s="186"/>
      <c r="J136" s="186"/>
      <c r="K136" s="186"/>
      <c r="L136" s="186"/>
      <c r="M136" s="186"/>
      <c r="N136" s="186"/>
      <c r="O136" s="186"/>
      <c r="P136" s="186"/>
      <c r="Q136" s="186"/>
      <c r="R136" s="186"/>
    </row>
    <row r="137" spans="6:18">
      <c r="F137" s="186"/>
      <c r="G137" s="186"/>
      <c r="H137" s="186"/>
      <c r="I137" s="186"/>
      <c r="J137" s="186"/>
      <c r="K137" s="186"/>
      <c r="L137" s="186"/>
      <c r="M137" s="186"/>
      <c r="N137" s="186"/>
      <c r="O137" s="186"/>
      <c r="P137" s="186"/>
      <c r="Q137" s="186"/>
      <c r="R137" s="186"/>
    </row>
    <row r="138" spans="6:18">
      <c r="F138" s="186"/>
      <c r="G138" s="186"/>
      <c r="H138" s="186"/>
      <c r="I138" s="186"/>
      <c r="J138" s="186"/>
      <c r="K138" s="186"/>
      <c r="L138" s="186"/>
      <c r="M138" s="186"/>
      <c r="N138" s="186"/>
      <c r="O138" s="186"/>
      <c r="P138" s="186"/>
      <c r="Q138" s="186"/>
      <c r="R138" s="186"/>
    </row>
    <row r="139" spans="6:18">
      <c r="F139" s="186"/>
      <c r="G139" s="186"/>
      <c r="H139" s="186"/>
      <c r="I139" s="186"/>
      <c r="J139" s="186"/>
      <c r="K139" s="186"/>
      <c r="L139" s="186"/>
      <c r="M139" s="186"/>
      <c r="N139" s="186"/>
      <c r="O139" s="186"/>
      <c r="P139" s="186"/>
      <c r="Q139" s="186"/>
      <c r="R139" s="186"/>
    </row>
    <row r="140" spans="6:18">
      <c r="F140" s="186"/>
      <c r="G140" s="186"/>
      <c r="H140" s="186"/>
      <c r="I140" s="186"/>
      <c r="J140" s="186"/>
      <c r="K140" s="186"/>
      <c r="L140" s="186"/>
      <c r="M140" s="186"/>
      <c r="N140" s="186"/>
      <c r="O140" s="186"/>
      <c r="P140" s="186"/>
      <c r="Q140" s="186"/>
      <c r="R140" s="186"/>
    </row>
    <row r="141" spans="6:18">
      <c r="F141" s="186"/>
      <c r="G141" s="186"/>
      <c r="H141" s="186"/>
      <c r="I141" s="186"/>
      <c r="J141" s="186"/>
      <c r="K141" s="186"/>
      <c r="L141" s="186"/>
      <c r="M141" s="186"/>
      <c r="N141" s="186"/>
      <c r="O141" s="186"/>
      <c r="P141" s="186"/>
      <c r="Q141" s="186"/>
      <c r="R141" s="186"/>
    </row>
    <row r="142" spans="6:18">
      <c r="F142" s="186"/>
      <c r="G142" s="186"/>
      <c r="H142" s="186"/>
      <c r="I142" s="186"/>
      <c r="J142" s="186"/>
      <c r="K142" s="186"/>
      <c r="L142" s="186"/>
      <c r="M142" s="186"/>
      <c r="N142" s="186"/>
      <c r="O142" s="186"/>
      <c r="P142" s="186"/>
      <c r="Q142" s="186"/>
      <c r="R142" s="186"/>
    </row>
    <row r="143" spans="6:18">
      <c r="F143" s="186"/>
      <c r="G143" s="186"/>
      <c r="H143" s="186"/>
      <c r="I143" s="186"/>
      <c r="J143" s="186"/>
      <c r="K143" s="186"/>
      <c r="L143" s="186"/>
      <c r="M143" s="186"/>
      <c r="N143" s="186"/>
      <c r="O143" s="186"/>
      <c r="P143" s="186"/>
      <c r="Q143" s="186"/>
      <c r="R143" s="186"/>
    </row>
    <row r="144" spans="6:18">
      <c r="F144" s="186"/>
      <c r="G144" s="186"/>
      <c r="H144" s="186"/>
      <c r="I144" s="186"/>
      <c r="J144" s="186"/>
      <c r="K144" s="186"/>
      <c r="L144" s="186"/>
      <c r="M144" s="186"/>
      <c r="N144" s="186"/>
      <c r="O144" s="186"/>
      <c r="P144" s="186"/>
      <c r="Q144" s="186"/>
      <c r="R144" s="186"/>
    </row>
    <row r="145" spans="6:18">
      <c r="F145" s="186"/>
      <c r="G145" s="186"/>
      <c r="H145" s="186"/>
      <c r="I145" s="186"/>
      <c r="J145" s="186"/>
      <c r="K145" s="186"/>
      <c r="L145" s="186"/>
      <c r="M145" s="186"/>
      <c r="N145" s="186"/>
      <c r="O145" s="186"/>
      <c r="P145" s="186"/>
      <c r="Q145" s="186"/>
      <c r="R145" s="186"/>
    </row>
    <row r="146" spans="6:18">
      <c r="F146" s="186"/>
      <c r="G146" s="186"/>
      <c r="H146" s="186"/>
      <c r="I146" s="186"/>
      <c r="J146" s="186"/>
      <c r="K146" s="186"/>
      <c r="L146" s="186"/>
      <c r="M146" s="186"/>
      <c r="N146" s="186"/>
      <c r="O146" s="186"/>
      <c r="P146" s="186"/>
      <c r="Q146" s="186"/>
      <c r="R146" s="186"/>
    </row>
  </sheetData>
  <mergeCells count="5">
    <mergeCell ref="A1:R1"/>
    <mergeCell ref="A2:R2"/>
    <mergeCell ref="A3:R3"/>
    <mergeCell ref="A5:R5"/>
    <mergeCell ref="A6:R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</vt:i4>
      </vt:variant>
    </vt:vector>
  </HeadingPairs>
  <TitlesOfParts>
    <vt:vector size="21" baseType="lpstr">
      <vt:lpstr>TEMPLATE</vt:lpstr>
      <vt:lpstr>tb</vt:lpstr>
      <vt:lpstr>sfper</vt:lpstr>
      <vt:lpstr>confper</vt:lpstr>
      <vt:lpstr>sfpos</vt:lpstr>
      <vt:lpstr>sfpos 101</vt:lpstr>
      <vt:lpstr>sfpos 151</vt:lpstr>
      <vt:lpstr>confpos</vt:lpstr>
      <vt:lpstr>confpos 101</vt:lpstr>
      <vt:lpstr>position_151</vt:lpstr>
      <vt:lpstr>equity_all funds</vt:lpstr>
      <vt:lpstr>equity_101</vt:lpstr>
      <vt:lpstr>equitY101</vt:lpstr>
      <vt:lpstr>equity_151</vt:lpstr>
      <vt:lpstr>CFS_2015_all funds</vt:lpstr>
      <vt:lpstr>scf2</vt:lpstr>
      <vt:lpstr>SCBAA</vt:lpstr>
      <vt:lpstr>Sheet1</vt:lpstr>
      <vt:lpstr>NOTES</vt:lpstr>
      <vt:lpstr>Sheet3</vt:lpstr>
      <vt:lpstr>position_151!Print_Area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</dc:creator>
  <cp:lastModifiedBy>Mines</cp:lastModifiedBy>
  <cp:lastPrinted>2016-03-08T04:55:38Z</cp:lastPrinted>
  <dcterms:created xsi:type="dcterms:W3CDTF">2016-01-12T11:50:35Z</dcterms:created>
  <dcterms:modified xsi:type="dcterms:W3CDTF">2016-06-29T02:09:01Z</dcterms:modified>
</cp:coreProperties>
</file>